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600" windowHeight="10800" activeTab="5"/>
  </bookViews>
  <sheets>
    <sheet name="10 YEAR PROJECTION" sheetId="14" r:id="rId1"/>
    <sheet name="MP_new" sheetId="15" r:id="rId2"/>
    <sheet name="NPV Summary" sheetId="1" r:id="rId3"/>
    <sheet name="Area Summary" sheetId="3" r:id="rId4"/>
    <sheet name="MP Analysis Input" sheetId="19" r:id="rId5"/>
    <sheet name="Constraints" sheetId="28" r:id="rId6"/>
    <sheet name="Custom HV &amp; WD" sheetId="16" r:id="rId7"/>
    <sheet name="Generic HV &amp; WD" sheetId="17" r:id="rId8"/>
    <sheet name="Cost Analysis Input" sheetId="11" r:id="rId9"/>
    <sheet name="Rates" sheetId="10" r:id="rId10"/>
    <sheet name="Step 1" sheetId="23" r:id="rId11"/>
    <sheet name="Steps 1 thru 2" sheetId="26" r:id="rId12"/>
    <sheet name="Steps 1 thru 3" sheetId="27" r:id="rId13"/>
    <sheet name="Steps 1 thru 4" sheetId="25" r:id="rId14"/>
    <sheet name="Steps 1 thru 5" sheetId="24"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PROJECTION'!$B$3:$X$60</definedName>
    <definedName name="_xlnm.Print_Area" localSheetId="2">'NPV Summary'!$A$2:$Z$99</definedName>
    <definedName name="_xlnm.Print_Area" localSheetId="10">'Step 1'!$A$1:$AB$54</definedName>
    <definedName name="_xlnm.Print_Area" localSheetId="11">'Steps 1 thru 2'!$A$1:$AB$54</definedName>
    <definedName name="_xlnm.Print_Area" localSheetId="12">'Steps 1 thru 3'!$A$1:$AB$54</definedName>
    <definedName name="_xlnm.Print_Area" localSheetId="13">'Steps 1 thru 4'!$A$1:$AB$54</definedName>
    <definedName name="_xlnm.Print_Area" localSheetId="14">'Steps 1 thru 5'!$A$1:$AB$54</definedName>
    <definedName name="_xlnm.Print_Titles" localSheetId="0">'10 YEAR PROJECTION'!$3:$4</definedName>
    <definedName name="_xlnm.Print_Titles" localSheetId="2">'NPV Summary'!$20:$20</definedName>
    <definedName name="_xlnm.Print_Titles" localSheetId="10">'Step 1'!$9:$10</definedName>
    <definedName name="_xlnm.Print_Titles" localSheetId="11">'Steps 1 thru 2'!$9:$10</definedName>
    <definedName name="_xlnm.Print_Titles" localSheetId="12">'Steps 1 thru 3'!$9:$10</definedName>
    <definedName name="_xlnm.Print_Titles" localSheetId="13">'Steps 1 thru 4'!$9:$10</definedName>
    <definedName name="_xlnm.Print_Titles" localSheetId="14">'Steps 1 thru 5'!$9:$10</definedName>
  </definedNames>
  <calcPr calcId="145621"/>
</workbook>
</file>

<file path=xl/calcChain.xml><?xml version="1.0" encoding="utf-8"?>
<calcChain xmlns="http://schemas.openxmlformats.org/spreadsheetml/2006/main">
  <c r="AK3" i="28" l="1"/>
  <c r="AK4" i="28"/>
  <c r="AK5" i="28"/>
  <c r="AK6" i="28"/>
  <c r="AK7" i="28"/>
  <c r="AK8" i="28"/>
  <c r="AK9" i="28"/>
  <c r="AK10" i="28"/>
  <c r="AK11" i="28"/>
  <c r="AK12" i="28"/>
  <c r="AK13" i="28"/>
  <c r="AK14" i="28"/>
  <c r="AK15" i="28"/>
  <c r="AK16" i="28"/>
  <c r="AK17" i="28"/>
  <c r="AK18" i="28"/>
  <c r="AK19" i="28"/>
  <c r="AK20" i="28"/>
  <c r="AK21" i="28"/>
  <c r="AK22" i="28"/>
  <c r="AK23" i="28"/>
  <c r="AK24" i="28"/>
  <c r="AK25" i="28"/>
  <c r="AK26" i="28"/>
  <c r="AK27" i="28"/>
  <c r="AK28" i="28"/>
  <c r="AK29" i="28"/>
  <c r="AK30" i="28"/>
  <c r="AK31" i="28"/>
  <c r="AK32" i="28"/>
  <c r="J26" i="14" l="1"/>
  <c r="C32" i="3"/>
  <c r="D32" i="3"/>
  <c r="E32" i="3"/>
  <c r="F32" i="3"/>
  <c r="G32" i="3"/>
  <c r="G31" i="3"/>
  <c r="E31" i="3"/>
  <c r="F31" i="3"/>
  <c r="D31" i="3"/>
  <c r="AK2" i="28" l="1"/>
  <c r="AN64" i="27"/>
  <c r="AM64" i="27"/>
  <c r="AL64" i="27"/>
  <c r="AI64" i="27"/>
  <c r="AN63" i="27"/>
  <c r="AM63" i="27"/>
  <c r="AL63" i="27"/>
  <c r="AI63" i="27"/>
  <c r="AN62" i="27"/>
  <c r="AM62" i="27"/>
  <c r="AL62" i="27"/>
  <c r="AI62" i="27"/>
  <c r="AN61" i="27"/>
  <c r="AM61" i="27"/>
  <c r="AL61" i="27"/>
  <c r="AI61" i="27"/>
  <c r="AN60" i="27"/>
  <c r="AM60" i="27"/>
  <c r="AL60" i="27"/>
  <c r="AI60" i="27"/>
  <c r="AN59" i="27"/>
  <c r="AM59" i="27"/>
  <c r="AL59" i="27"/>
  <c r="AI59" i="27"/>
  <c r="AN58" i="27"/>
  <c r="AM58" i="27"/>
  <c r="AL58" i="27"/>
  <c r="AI58" i="27"/>
  <c r="AN57" i="27"/>
  <c r="AM57" i="27"/>
  <c r="AL57" i="27"/>
  <c r="AI57" i="27"/>
  <c r="AN56" i="27"/>
  <c r="AM56" i="27"/>
  <c r="AL56" i="27"/>
  <c r="AI56" i="27"/>
  <c r="AN55" i="27"/>
  <c r="AM55" i="27"/>
  <c r="AL55" i="27"/>
  <c r="AI55" i="27"/>
  <c r="AN54" i="27"/>
  <c r="AM54" i="27"/>
  <c r="AL54" i="27"/>
  <c r="AI54" i="27"/>
  <c r="AN53" i="27"/>
  <c r="AM53" i="27"/>
  <c r="AL53" i="27"/>
  <c r="AI53" i="27"/>
  <c r="AN52" i="27"/>
  <c r="AM52" i="27"/>
  <c r="AL52" i="27"/>
  <c r="AI52" i="27"/>
  <c r="AN51" i="27"/>
  <c r="AM51" i="27"/>
  <c r="AL51" i="27"/>
  <c r="AI51" i="27"/>
  <c r="AN50" i="27"/>
  <c r="AM50" i="27"/>
  <c r="AL50" i="27"/>
  <c r="AI50" i="27"/>
  <c r="AN49" i="27"/>
  <c r="AM49" i="27"/>
  <c r="AL49" i="27"/>
  <c r="AI49" i="27"/>
  <c r="AN48" i="27"/>
  <c r="AM48" i="27"/>
  <c r="AL48" i="27"/>
  <c r="AI48" i="27"/>
  <c r="AN47" i="27"/>
  <c r="AM47" i="27"/>
  <c r="AL47" i="27"/>
  <c r="AI47" i="27"/>
  <c r="AN46" i="27"/>
  <c r="AM46" i="27"/>
  <c r="AL46" i="27"/>
  <c r="AI46" i="27"/>
  <c r="AN45" i="27"/>
  <c r="AM45" i="27"/>
  <c r="AL45" i="27"/>
  <c r="AI45" i="27"/>
  <c r="AN44" i="27"/>
  <c r="AM44" i="27"/>
  <c r="AL44" i="27"/>
  <c r="AI44" i="27"/>
  <c r="AN43" i="27"/>
  <c r="AM43" i="27"/>
  <c r="AL43" i="27"/>
  <c r="AI43" i="27"/>
  <c r="AN42" i="27"/>
  <c r="AM42" i="27"/>
  <c r="AL42" i="27"/>
  <c r="AI42" i="27"/>
  <c r="AN41" i="27"/>
  <c r="AM41" i="27"/>
  <c r="AL41" i="27"/>
  <c r="AI41" i="27"/>
  <c r="AN40" i="27"/>
  <c r="AM40" i="27"/>
  <c r="AL40" i="27"/>
  <c r="AI40" i="27"/>
  <c r="AN39" i="27"/>
  <c r="AM39" i="27"/>
  <c r="AL39" i="27"/>
  <c r="AI39" i="27"/>
  <c r="AN38" i="27"/>
  <c r="AM38" i="27"/>
  <c r="AL38" i="27"/>
  <c r="AI38" i="27"/>
  <c r="AN37" i="27"/>
  <c r="AM37" i="27"/>
  <c r="AL37" i="27"/>
  <c r="AI37" i="27"/>
  <c r="AN36" i="27"/>
  <c r="AM36" i="27"/>
  <c r="AL36" i="27"/>
  <c r="AI36" i="27"/>
  <c r="AN35" i="27"/>
  <c r="AM35" i="27"/>
  <c r="AL35" i="27"/>
  <c r="AI35" i="27"/>
  <c r="AN34" i="27"/>
  <c r="AM34" i="27"/>
  <c r="AL34" i="27"/>
  <c r="AI34" i="27"/>
  <c r="AN33" i="27"/>
  <c r="AM33" i="27"/>
  <c r="AL33" i="27"/>
  <c r="AI33" i="27"/>
  <c r="AN32" i="27"/>
  <c r="AM32" i="27"/>
  <c r="AL32" i="27"/>
  <c r="AI32" i="27"/>
  <c r="AN31" i="27"/>
  <c r="AM31" i="27"/>
  <c r="AL31" i="27"/>
  <c r="AI31" i="27"/>
  <c r="AN30" i="27"/>
  <c r="AM30" i="27"/>
  <c r="AL30" i="27"/>
  <c r="AI30" i="27"/>
  <c r="AN29" i="27"/>
  <c r="AM29" i="27"/>
  <c r="AL29" i="27"/>
  <c r="AI29" i="27"/>
  <c r="AN28" i="27"/>
  <c r="AM28" i="27"/>
  <c r="AL28" i="27"/>
  <c r="AI28" i="27"/>
  <c r="AN27" i="27"/>
  <c r="AM27" i="27"/>
  <c r="AL27" i="27"/>
  <c r="AI27" i="27"/>
  <c r="AN26" i="27"/>
  <c r="AM26" i="27"/>
  <c r="AL26" i="27"/>
  <c r="AI26" i="27"/>
  <c r="C26" i="27"/>
  <c r="AN25" i="27"/>
  <c r="AM25" i="27"/>
  <c r="AL25" i="27"/>
  <c r="AI25" i="27"/>
  <c r="AN24" i="27"/>
  <c r="AM24" i="27"/>
  <c r="AL24" i="27"/>
  <c r="AI24" i="27"/>
  <c r="AN23" i="27"/>
  <c r="AM23" i="27"/>
  <c r="AL23" i="27"/>
  <c r="AI23" i="27"/>
  <c r="AN22" i="27"/>
  <c r="AM22" i="27"/>
  <c r="AL22" i="27"/>
  <c r="AI22" i="27"/>
  <c r="AN21" i="27"/>
  <c r="AM21" i="27"/>
  <c r="AL21" i="27"/>
  <c r="AI21" i="27"/>
  <c r="AN20" i="27"/>
  <c r="AM20" i="27"/>
  <c r="AL20" i="27"/>
  <c r="AI20" i="27"/>
  <c r="AN19" i="27"/>
  <c r="AM19" i="27"/>
  <c r="AL19" i="27"/>
  <c r="AI19" i="27"/>
  <c r="AN18" i="27"/>
  <c r="AM18" i="27"/>
  <c r="AL18" i="27"/>
  <c r="AI18" i="27"/>
  <c r="AN17" i="27"/>
  <c r="AM17" i="27"/>
  <c r="AL17" i="27"/>
  <c r="AI17" i="27"/>
  <c r="AN16" i="27"/>
  <c r="AM16" i="27"/>
  <c r="AL16" i="27"/>
  <c r="AI16" i="27"/>
  <c r="AN15" i="27"/>
  <c r="AM15" i="27"/>
  <c r="AL15" i="27"/>
  <c r="AI15" i="27"/>
  <c r="AN14" i="27"/>
  <c r="AM14" i="27"/>
  <c r="AL14" i="27"/>
  <c r="AI14" i="27"/>
  <c r="AN13" i="27"/>
  <c r="AM13" i="27"/>
  <c r="AL13" i="27"/>
  <c r="AI13" i="27"/>
  <c r="AN12" i="27"/>
  <c r="AM12" i="27"/>
  <c r="AL12" i="27"/>
  <c r="AK12" i="27"/>
  <c r="AK13" i="27" s="1"/>
  <c r="AK14" i="27" s="1"/>
  <c r="AK15" i="27" s="1"/>
  <c r="AK16" i="27" s="1"/>
  <c r="AK17" i="27" s="1"/>
  <c r="AK18" i="27" s="1"/>
  <c r="AK19" i="27" s="1"/>
  <c r="AK20" i="27" s="1"/>
  <c r="AK21" i="27" s="1"/>
  <c r="AK22" i="27" s="1"/>
  <c r="AK23" i="27" s="1"/>
  <c r="AK24" i="27" s="1"/>
  <c r="AK25" i="27" s="1"/>
  <c r="AK26" i="27" s="1"/>
  <c r="AK27" i="27" s="1"/>
  <c r="AK28" i="27" s="1"/>
  <c r="AK29" i="27" s="1"/>
  <c r="AK30" i="27" s="1"/>
  <c r="AK31" i="27" s="1"/>
  <c r="AK32" i="27" s="1"/>
  <c r="AK33" i="27" s="1"/>
  <c r="AK34" i="27" s="1"/>
  <c r="AK35" i="27" s="1"/>
  <c r="AK36" i="27" s="1"/>
  <c r="AK37" i="27" s="1"/>
  <c r="AK38" i="27" s="1"/>
  <c r="AK39" i="27" s="1"/>
  <c r="AK40" i="27" s="1"/>
  <c r="AK41" i="27" s="1"/>
  <c r="AK42" i="27" s="1"/>
  <c r="AK43" i="27" s="1"/>
  <c r="AK44" i="27" s="1"/>
  <c r="AK45" i="27" s="1"/>
  <c r="AK46" i="27" s="1"/>
  <c r="AK47" i="27" s="1"/>
  <c r="AK48" i="27" s="1"/>
  <c r="AK49" i="27" s="1"/>
  <c r="AK50" i="27" s="1"/>
  <c r="AK51" i="27" s="1"/>
  <c r="AK52" i="27" s="1"/>
  <c r="AK53" i="27" s="1"/>
  <c r="AK54" i="27" s="1"/>
  <c r="AK55" i="27" s="1"/>
  <c r="AK56" i="27" s="1"/>
  <c r="AK57" i="27" s="1"/>
  <c r="AK58" i="27" s="1"/>
  <c r="AK59" i="27" s="1"/>
  <c r="AK60" i="27" s="1"/>
  <c r="AK61" i="27" s="1"/>
  <c r="AK62" i="27" s="1"/>
  <c r="AK63" i="27" s="1"/>
  <c r="AK64" i="27" s="1"/>
  <c r="AI12" i="27"/>
  <c r="AH12" i="27"/>
  <c r="AH13" i="27" s="1"/>
  <c r="AH14" i="27" s="1"/>
  <c r="AH15" i="27" s="1"/>
  <c r="AH16" i="27" s="1"/>
  <c r="AH17" i="27" s="1"/>
  <c r="AH18" i="27" s="1"/>
  <c r="AH19" i="27" s="1"/>
  <c r="AH20" i="27" s="1"/>
  <c r="AH21" i="27" s="1"/>
  <c r="AH22" i="27" s="1"/>
  <c r="AH23" i="27" s="1"/>
  <c r="AH24" i="27" s="1"/>
  <c r="AH25" i="27" s="1"/>
  <c r="AH26" i="27" s="1"/>
  <c r="AH27" i="27" s="1"/>
  <c r="AH28" i="27" s="1"/>
  <c r="AH29" i="27" s="1"/>
  <c r="AH30" i="27" s="1"/>
  <c r="AH31" i="27" s="1"/>
  <c r="AH32" i="27" s="1"/>
  <c r="AH33" i="27" s="1"/>
  <c r="AH34" i="27" s="1"/>
  <c r="AH35" i="27" s="1"/>
  <c r="AH36" i="27" s="1"/>
  <c r="AH37" i="27" s="1"/>
  <c r="AH38" i="27" s="1"/>
  <c r="AH39" i="27" s="1"/>
  <c r="AH40" i="27" s="1"/>
  <c r="AH41" i="27" s="1"/>
  <c r="AH42" i="27" s="1"/>
  <c r="AH43" i="27" s="1"/>
  <c r="AH44" i="27" s="1"/>
  <c r="AH45" i="27" s="1"/>
  <c r="AH46" i="27" s="1"/>
  <c r="AH47" i="27" s="1"/>
  <c r="AH48" i="27" s="1"/>
  <c r="AH49" i="27" s="1"/>
  <c r="AH50" i="27" s="1"/>
  <c r="AH51" i="27" s="1"/>
  <c r="AH52" i="27" s="1"/>
  <c r="AH53" i="27" s="1"/>
  <c r="AH54" i="27" s="1"/>
  <c r="AH55" i="27" s="1"/>
  <c r="AH56" i="27" s="1"/>
  <c r="AH57" i="27" s="1"/>
  <c r="AH58" i="27" s="1"/>
  <c r="AH59" i="27" s="1"/>
  <c r="AH60" i="27" s="1"/>
  <c r="AH61" i="27" s="1"/>
  <c r="AH62" i="27" s="1"/>
  <c r="AH63" i="27" s="1"/>
  <c r="AH64" i="27" s="1"/>
  <c r="BI11" i="27"/>
  <c r="AN11" i="27"/>
  <c r="AM11" i="27"/>
  <c r="AL11" i="27"/>
  <c r="AI11" i="27"/>
  <c r="S11" i="27"/>
  <c r="C11" i="27"/>
  <c r="R5" i="27"/>
  <c r="Q5" i="27"/>
  <c r="P5" i="27"/>
  <c r="O5" i="27"/>
  <c r="AI10" i="27" s="1"/>
  <c r="N5" i="27"/>
  <c r="M5" i="27"/>
  <c r="L5" i="27"/>
  <c r="K5" i="27"/>
  <c r="J5" i="27"/>
  <c r="I5" i="27"/>
  <c r="H5" i="27"/>
  <c r="G5" i="27"/>
  <c r="F5" i="27"/>
  <c r="E5" i="27"/>
  <c r="D5" i="27"/>
  <c r="C5" i="27"/>
  <c r="B11" i="27" s="1"/>
  <c r="B5" i="27"/>
  <c r="C9" i="27" s="1"/>
  <c r="AN64" i="26"/>
  <c r="AM64" i="26"/>
  <c r="AL64" i="26"/>
  <c r="AI64" i="26"/>
  <c r="AN63" i="26"/>
  <c r="AM63" i="26"/>
  <c r="AL63" i="26"/>
  <c r="AI63" i="26"/>
  <c r="AN62" i="26"/>
  <c r="AM62" i="26"/>
  <c r="AL62" i="26"/>
  <c r="AI62" i="26"/>
  <c r="AN61" i="26"/>
  <c r="AM61" i="26"/>
  <c r="AL61" i="26"/>
  <c r="AI61" i="26"/>
  <c r="AN60" i="26"/>
  <c r="AM60" i="26"/>
  <c r="AL60" i="26"/>
  <c r="AI60" i="26"/>
  <c r="AN59" i="26"/>
  <c r="AM59" i="26"/>
  <c r="AL59" i="26"/>
  <c r="AI59" i="26"/>
  <c r="AN58" i="26"/>
  <c r="AM58" i="26"/>
  <c r="AL58" i="26"/>
  <c r="AI58" i="26"/>
  <c r="AN57" i="26"/>
  <c r="AM57" i="26"/>
  <c r="AL57" i="26"/>
  <c r="AI57" i="26"/>
  <c r="AN56" i="26"/>
  <c r="AM56" i="26"/>
  <c r="AL56" i="26"/>
  <c r="AI56" i="26"/>
  <c r="AN55" i="26"/>
  <c r="AM55" i="26"/>
  <c r="AL55" i="26"/>
  <c r="AI55" i="26"/>
  <c r="AN54" i="26"/>
  <c r="AM54" i="26"/>
  <c r="AL54" i="26"/>
  <c r="AI54" i="26"/>
  <c r="AN53" i="26"/>
  <c r="AM53" i="26"/>
  <c r="AL53" i="26"/>
  <c r="AI53" i="26"/>
  <c r="AN52" i="26"/>
  <c r="AM52" i="26"/>
  <c r="AL52" i="26"/>
  <c r="AI52" i="26"/>
  <c r="AN51" i="26"/>
  <c r="AM51" i="26"/>
  <c r="AL51" i="26"/>
  <c r="AI51" i="26"/>
  <c r="AN50" i="26"/>
  <c r="AM50" i="26"/>
  <c r="AL50" i="26"/>
  <c r="AI50" i="26"/>
  <c r="AN49" i="26"/>
  <c r="AM49" i="26"/>
  <c r="AL49" i="26"/>
  <c r="AI49" i="26"/>
  <c r="AN48" i="26"/>
  <c r="AM48" i="26"/>
  <c r="AL48" i="26"/>
  <c r="AI48" i="26"/>
  <c r="AN47" i="26"/>
  <c r="AM47" i="26"/>
  <c r="AL47" i="26"/>
  <c r="AI47" i="26"/>
  <c r="AN46" i="26"/>
  <c r="AM46" i="26"/>
  <c r="AL46" i="26"/>
  <c r="AI46" i="26"/>
  <c r="AN45" i="26"/>
  <c r="AM45" i="26"/>
  <c r="AL45" i="26"/>
  <c r="AI45" i="26"/>
  <c r="AN44" i="26"/>
  <c r="AM44" i="26"/>
  <c r="AL44" i="26"/>
  <c r="AI44" i="26"/>
  <c r="AN43" i="26"/>
  <c r="AM43" i="26"/>
  <c r="AL43" i="26"/>
  <c r="AI43" i="26"/>
  <c r="AN42" i="26"/>
  <c r="AM42" i="26"/>
  <c r="AL42" i="26"/>
  <c r="AI42" i="26"/>
  <c r="AN41" i="26"/>
  <c r="AM41" i="26"/>
  <c r="AL41" i="26"/>
  <c r="AI41" i="26"/>
  <c r="AN40" i="26"/>
  <c r="AM40" i="26"/>
  <c r="AL40" i="26"/>
  <c r="AI40" i="26"/>
  <c r="AN39" i="26"/>
  <c r="AM39" i="26"/>
  <c r="AL39" i="26"/>
  <c r="AI39" i="26"/>
  <c r="AN38" i="26"/>
  <c r="AM38" i="26"/>
  <c r="AL38" i="26"/>
  <c r="AI38" i="26"/>
  <c r="AN37" i="26"/>
  <c r="AM37" i="26"/>
  <c r="AL37" i="26"/>
  <c r="AI37" i="26"/>
  <c r="AN36" i="26"/>
  <c r="AM36" i="26"/>
  <c r="AL36" i="26"/>
  <c r="AI36" i="26"/>
  <c r="AN35" i="26"/>
  <c r="AM35" i="26"/>
  <c r="AL35" i="26"/>
  <c r="AI35" i="26"/>
  <c r="AN34" i="26"/>
  <c r="AM34" i="26"/>
  <c r="AL34" i="26"/>
  <c r="AI34" i="26"/>
  <c r="AN33" i="26"/>
  <c r="AM33" i="26"/>
  <c r="AL33" i="26"/>
  <c r="AI33" i="26"/>
  <c r="AN32" i="26"/>
  <c r="AM32" i="26"/>
  <c r="AL32" i="26"/>
  <c r="AI32" i="26"/>
  <c r="AN31" i="26"/>
  <c r="AM31" i="26"/>
  <c r="AL31" i="26"/>
  <c r="AI31" i="26"/>
  <c r="AN30" i="26"/>
  <c r="AM30" i="26"/>
  <c r="AL30" i="26"/>
  <c r="AI30" i="26"/>
  <c r="AN29" i="26"/>
  <c r="AM29" i="26"/>
  <c r="AL29" i="26"/>
  <c r="AI29" i="26"/>
  <c r="AN28" i="26"/>
  <c r="AM28" i="26"/>
  <c r="AL28" i="26"/>
  <c r="AI28" i="26"/>
  <c r="AN27" i="26"/>
  <c r="AM27" i="26"/>
  <c r="AL27" i="26"/>
  <c r="AI27" i="26"/>
  <c r="AN26" i="26"/>
  <c r="AM26" i="26"/>
  <c r="AL26" i="26"/>
  <c r="AI26" i="26"/>
  <c r="C26" i="26"/>
  <c r="AN25" i="26"/>
  <c r="AM25" i="26"/>
  <c r="AL25" i="26"/>
  <c r="AI25" i="26"/>
  <c r="AN24" i="26"/>
  <c r="AM24" i="26"/>
  <c r="AL24" i="26"/>
  <c r="AI24" i="26"/>
  <c r="AN23" i="26"/>
  <c r="AM23" i="26"/>
  <c r="AL23" i="26"/>
  <c r="AI23" i="26"/>
  <c r="AN22" i="26"/>
  <c r="AM22" i="26"/>
  <c r="AL22" i="26"/>
  <c r="AI22" i="26"/>
  <c r="AN21" i="26"/>
  <c r="AM21" i="26"/>
  <c r="AL21" i="26"/>
  <c r="AI21" i="26"/>
  <c r="AN20" i="26"/>
  <c r="AM20" i="26"/>
  <c r="AL20" i="26"/>
  <c r="AI20" i="26"/>
  <c r="AN19" i="26"/>
  <c r="AM19" i="26"/>
  <c r="AL19" i="26"/>
  <c r="AI19" i="26"/>
  <c r="AN18" i="26"/>
  <c r="AM18" i="26"/>
  <c r="AL18" i="26"/>
  <c r="AI18" i="26"/>
  <c r="AN17" i="26"/>
  <c r="AM17" i="26"/>
  <c r="AL17" i="26"/>
  <c r="AI17" i="26"/>
  <c r="AN16" i="26"/>
  <c r="AM16" i="26"/>
  <c r="AL16" i="26"/>
  <c r="AI16" i="26"/>
  <c r="AN15" i="26"/>
  <c r="AM15" i="26"/>
  <c r="AL15" i="26"/>
  <c r="AI15" i="26"/>
  <c r="AN14" i="26"/>
  <c r="AM14" i="26"/>
  <c r="AL14" i="26"/>
  <c r="AI14" i="26"/>
  <c r="AN13" i="26"/>
  <c r="AM13" i="26"/>
  <c r="AL13" i="26"/>
  <c r="AI13" i="26"/>
  <c r="AN12" i="26"/>
  <c r="AM12" i="26"/>
  <c r="AL12" i="26"/>
  <c r="AK12" i="26"/>
  <c r="AK13" i="26" s="1"/>
  <c r="AK14" i="26" s="1"/>
  <c r="AK15" i="26" s="1"/>
  <c r="AK16" i="26" s="1"/>
  <c r="AK17" i="26" s="1"/>
  <c r="AK18" i="26" s="1"/>
  <c r="AK19" i="26" s="1"/>
  <c r="AK20" i="26" s="1"/>
  <c r="AK21" i="26" s="1"/>
  <c r="AK22" i="26" s="1"/>
  <c r="AK23" i="26" s="1"/>
  <c r="AK24" i="26" s="1"/>
  <c r="AK25" i="26" s="1"/>
  <c r="AK26" i="26" s="1"/>
  <c r="AK27" i="26" s="1"/>
  <c r="AK28" i="26" s="1"/>
  <c r="AK29" i="26" s="1"/>
  <c r="AK30" i="26" s="1"/>
  <c r="AK31" i="26" s="1"/>
  <c r="AK32" i="26" s="1"/>
  <c r="AK33" i="26" s="1"/>
  <c r="AK34" i="26" s="1"/>
  <c r="AK35" i="26" s="1"/>
  <c r="AK36" i="26" s="1"/>
  <c r="AK37" i="26" s="1"/>
  <c r="AK38" i="26" s="1"/>
  <c r="AK39" i="26" s="1"/>
  <c r="AK40" i="26" s="1"/>
  <c r="AK41" i="26" s="1"/>
  <c r="AK42" i="26" s="1"/>
  <c r="AK43" i="26" s="1"/>
  <c r="AK44" i="26" s="1"/>
  <c r="AK45" i="26" s="1"/>
  <c r="AK46" i="26" s="1"/>
  <c r="AK47" i="26" s="1"/>
  <c r="AK48" i="26" s="1"/>
  <c r="AK49" i="26" s="1"/>
  <c r="AK50" i="26" s="1"/>
  <c r="AK51" i="26" s="1"/>
  <c r="AK52" i="26" s="1"/>
  <c r="AK53" i="26" s="1"/>
  <c r="AK54" i="26" s="1"/>
  <c r="AK55" i="26" s="1"/>
  <c r="AK56" i="26" s="1"/>
  <c r="AK57" i="26" s="1"/>
  <c r="AK58" i="26" s="1"/>
  <c r="AK59" i="26" s="1"/>
  <c r="AK60" i="26" s="1"/>
  <c r="AK61" i="26" s="1"/>
  <c r="AK62" i="26" s="1"/>
  <c r="AK63" i="26" s="1"/>
  <c r="AK64" i="26" s="1"/>
  <c r="AI12" i="26"/>
  <c r="AH12" i="26"/>
  <c r="AH13" i="26" s="1"/>
  <c r="AH14" i="26" s="1"/>
  <c r="AH15" i="26" s="1"/>
  <c r="AH16" i="26" s="1"/>
  <c r="AH17" i="26" s="1"/>
  <c r="AH18" i="26" s="1"/>
  <c r="AH19" i="26" s="1"/>
  <c r="AH20" i="26" s="1"/>
  <c r="AH21" i="26" s="1"/>
  <c r="AH22" i="26" s="1"/>
  <c r="AH23" i="26" s="1"/>
  <c r="AH24" i="26" s="1"/>
  <c r="AH25" i="26" s="1"/>
  <c r="AH26" i="26" s="1"/>
  <c r="AH27" i="26" s="1"/>
  <c r="AH28" i="26" s="1"/>
  <c r="AH29" i="26" s="1"/>
  <c r="AH30" i="26" s="1"/>
  <c r="AH31" i="26" s="1"/>
  <c r="AH32" i="26" s="1"/>
  <c r="AH33" i="26" s="1"/>
  <c r="AH34" i="26" s="1"/>
  <c r="AH35" i="26" s="1"/>
  <c r="AH36" i="26" s="1"/>
  <c r="AH37" i="26" s="1"/>
  <c r="AH38" i="26" s="1"/>
  <c r="AH39" i="26" s="1"/>
  <c r="AH40" i="26" s="1"/>
  <c r="AH41" i="26" s="1"/>
  <c r="AH42" i="26" s="1"/>
  <c r="AH43" i="26" s="1"/>
  <c r="AH44" i="26" s="1"/>
  <c r="AH45" i="26" s="1"/>
  <c r="AH46" i="26" s="1"/>
  <c r="AH47" i="26" s="1"/>
  <c r="AH48" i="26" s="1"/>
  <c r="AH49" i="26" s="1"/>
  <c r="AH50" i="26" s="1"/>
  <c r="AH51" i="26" s="1"/>
  <c r="AH52" i="26" s="1"/>
  <c r="AH53" i="26" s="1"/>
  <c r="AH54" i="26" s="1"/>
  <c r="AH55" i="26" s="1"/>
  <c r="AH56" i="26" s="1"/>
  <c r="AH57" i="26" s="1"/>
  <c r="AH58" i="26" s="1"/>
  <c r="AH59" i="26" s="1"/>
  <c r="AH60" i="26" s="1"/>
  <c r="AH61" i="26" s="1"/>
  <c r="AH62" i="26" s="1"/>
  <c r="AH63" i="26" s="1"/>
  <c r="AH64" i="26" s="1"/>
  <c r="BI11" i="26"/>
  <c r="AN11" i="26"/>
  <c r="AM11" i="26"/>
  <c r="AL11" i="26"/>
  <c r="AI11" i="26"/>
  <c r="S11" i="26"/>
  <c r="C11" i="26"/>
  <c r="R5" i="26"/>
  <c r="Q5" i="26"/>
  <c r="P5" i="26"/>
  <c r="O5" i="26"/>
  <c r="AI10" i="26" s="1"/>
  <c r="N5" i="26"/>
  <c r="M5" i="26"/>
  <c r="L5" i="26"/>
  <c r="K5" i="26"/>
  <c r="J5" i="26"/>
  <c r="I5" i="26"/>
  <c r="H5" i="26"/>
  <c r="G5" i="26"/>
  <c r="F5" i="26"/>
  <c r="E5" i="26"/>
  <c r="D5" i="26"/>
  <c r="C5" i="26"/>
  <c r="B11" i="26" s="1"/>
  <c r="B5" i="26"/>
  <c r="C9" i="26" s="1"/>
  <c r="AN64" i="25"/>
  <c r="AM64" i="25"/>
  <c r="AL64" i="25"/>
  <c r="AI64" i="25"/>
  <c r="AN63" i="25"/>
  <c r="AM63" i="25"/>
  <c r="AL63" i="25"/>
  <c r="AI63" i="25"/>
  <c r="AN62" i="25"/>
  <c r="AM62" i="25"/>
  <c r="AL62" i="25"/>
  <c r="AI62" i="25"/>
  <c r="AN61" i="25"/>
  <c r="AM61" i="25"/>
  <c r="AL61" i="25"/>
  <c r="AI61" i="25"/>
  <c r="AN60" i="25"/>
  <c r="AM60" i="25"/>
  <c r="AL60" i="25"/>
  <c r="AI60" i="25"/>
  <c r="AN59" i="25"/>
  <c r="AM59" i="25"/>
  <c r="AL59" i="25"/>
  <c r="AI59" i="25"/>
  <c r="AN58" i="25"/>
  <c r="AM58" i="25"/>
  <c r="AL58" i="25"/>
  <c r="AI58" i="25"/>
  <c r="AN57" i="25"/>
  <c r="AM57" i="25"/>
  <c r="AL57" i="25"/>
  <c r="AI57" i="25"/>
  <c r="AN56" i="25"/>
  <c r="AM56" i="25"/>
  <c r="AL56" i="25"/>
  <c r="AI56" i="25"/>
  <c r="AN55" i="25"/>
  <c r="AM55" i="25"/>
  <c r="AL55" i="25"/>
  <c r="AI55" i="25"/>
  <c r="AN54" i="25"/>
  <c r="AM54" i="25"/>
  <c r="AL54" i="25"/>
  <c r="AI54" i="25"/>
  <c r="AN53" i="25"/>
  <c r="AM53" i="25"/>
  <c r="AL53" i="25"/>
  <c r="AI53" i="25"/>
  <c r="AN52" i="25"/>
  <c r="AM52" i="25"/>
  <c r="AL52" i="25"/>
  <c r="AI52" i="25"/>
  <c r="AN51" i="25"/>
  <c r="AM51" i="25"/>
  <c r="AL51" i="25"/>
  <c r="AI51" i="25"/>
  <c r="AN50" i="25"/>
  <c r="AM50" i="25"/>
  <c r="AL50" i="25"/>
  <c r="AI50" i="25"/>
  <c r="AN49" i="25"/>
  <c r="AM49" i="25"/>
  <c r="AL49" i="25"/>
  <c r="AI49" i="25"/>
  <c r="AN48" i="25"/>
  <c r="AM48" i="25"/>
  <c r="AL48" i="25"/>
  <c r="AI48" i="25"/>
  <c r="AN47" i="25"/>
  <c r="AM47" i="25"/>
  <c r="AL47" i="25"/>
  <c r="AI47" i="25"/>
  <c r="AN46" i="25"/>
  <c r="AM46" i="25"/>
  <c r="AL46" i="25"/>
  <c r="AI46" i="25"/>
  <c r="AN45" i="25"/>
  <c r="AM45" i="25"/>
  <c r="AL45" i="25"/>
  <c r="AI45" i="25"/>
  <c r="AN44" i="25"/>
  <c r="AM44" i="25"/>
  <c r="AL44" i="25"/>
  <c r="AI44" i="25"/>
  <c r="AN43" i="25"/>
  <c r="AM43" i="25"/>
  <c r="AL43" i="25"/>
  <c r="AI43" i="25"/>
  <c r="AN42" i="25"/>
  <c r="AM42" i="25"/>
  <c r="AL42" i="25"/>
  <c r="AI42" i="25"/>
  <c r="AN41" i="25"/>
  <c r="AM41" i="25"/>
  <c r="AL41" i="25"/>
  <c r="AI41" i="25"/>
  <c r="AN40" i="25"/>
  <c r="AM40" i="25"/>
  <c r="AL40" i="25"/>
  <c r="AI40" i="25"/>
  <c r="AN39" i="25"/>
  <c r="AM39" i="25"/>
  <c r="AL39" i="25"/>
  <c r="AI39" i="25"/>
  <c r="AN38" i="25"/>
  <c r="AM38" i="25"/>
  <c r="AL38" i="25"/>
  <c r="AI38" i="25"/>
  <c r="AN37" i="25"/>
  <c r="AM37" i="25"/>
  <c r="AL37" i="25"/>
  <c r="AI37" i="25"/>
  <c r="AN36" i="25"/>
  <c r="AM36" i="25"/>
  <c r="AL36" i="25"/>
  <c r="AI36" i="25"/>
  <c r="AN35" i="25"/>
  <c r="AM35" i="25"/>
  <c r="AL35" i="25"/>
  <c r="AI35" i="25"/>
  <c r="AN34" i="25"/>
  <c r="AM34" i="25"/>
  <c r="AL34" i="25"/>
  <c r="AI34" i="25"/>
  <c r="AN33" i="25"/>
  <c r="AM33" i="25"/>
  <c r="AL33" i="25"/>
  <c r="AI33" i="25"/>
  <c r="AN32" i="25"/>
  <c r="AM32" i="25"/>
  <c r="AL32" i="25"/>
  <c r="AI32" i="25"/>
  <c r="AN31" i="25"/>
  <c r="AM31" i="25"/>
  <c r="AL31" i="25"/>
  <c r="AI31" i="25"/>
  <c r="AN30" i="25"/>
  <c r="AM30" i="25"/>
  <c r="AL30" i="25"/>
  <c r="AI30" i="25"/>
  <c r="AN29" i="25"/>
  <c r="AM29" i="25"/>
  <c r="AL29" i="25"/>
  <c r="AI29" i="25"/>
  <c r="AN28" i="25"/>
  <c r="AM28" i="25"/>
  <c r="AL28" i="25"/>
  <c r="AI28" i="25"/>
  <c r="AN27" i="25"/>
  <c r="AM27" i="25"/>
  <c r="AL27" i="25"/>
  <c r="AI27" i="25"/>
  <c r="AN26" i="25"/>
  <c r="AM26" i="25"/>
  <c r="AL26" i="25"/>
  <c r="AI26" i="25"/>
  <c r="C26" i="25"/>
  <c r="AN25" i="25"/>
  <c r="AM25" i="25"/>
  <c r="AL25" i="25"/>
  <c r="AI25" i="25"/>
  <c r="AN24" i="25"/>
  <c r="AM24" i="25"/>
  <c r="AL24" i="25"/>
  <c r="AI24" i="25"/>
  <c r="AN23" i="25"/>
  <c r="AM23" i="25"/>
  <c r="AL23" i="25"/>
  <c r="AI23" i="25"/>
  <c r="AN22" i="25"/>
  <c r="AM22" i="25"/>
  <c r="AL22" i="25"/>
  <c r="AI22" i="25"/>
  <c r="AN21" i="25"/>
  <c r="AM21" i="25"/>
  <c r="AL21" i="25"/>
  <c r="AI21" i="25"/>
  <c r="AN20" i="25"/>
  <c r="AM20" i="25"/>
  <c r="AL20" i="25"/>
  <c r="AI20" i="25"/>
  <c r="AN19" i="25"/>
  <c r="AM19" i="25"/>
  <c r="AL19" i="25"/>
  <c r="AI19" i="25"/>
  <c r="AN18" i="25"/>
  <c r="AM18" i="25"/>
  <c r="AL18" i="25"/>
  <c r="AI18" i="25"/>
  <c r="AN17" i="25"/>
  <c r="AM17" i="25"/>
  <c r="AL17" i="25"/>
  <c r="AI17" i="25"/>
  <c r="AN16" i="25"/>
  <c r="AM16" i="25"/>
  <c r="AL16" i="25"/>
  <c r="AI16" i="25"/>
  <c r="AN15" i="25"/>
  <c r="AM15" i="25"/>
  <c r="AL15" i="25"/>
  <c r="AI15" i="25"/>
  <c r="AN14" i="25"/>
  <c r="AM14" i="25"/>
  <c r="AL14" i="25"/>
  <c r="AI14" i="25"/>
  <c r="AN13" i="25"/>
  <c r="AM13" i="25"/>
  <c r="AL13" i="25"/>
  <c r="AI13" i="25"/>
  <c r="AN12" i="25"/>
  <c r="AM12" i="25"/>
  <c r="AL12" i="25"/>
  <c r="AK12" i="25"/>
  <c r="AK13" i="25" s="1"/>
  <c r="AK14" i="25" s="1"/>
  <c r="AK15" i="25" s="1"/>
  <c r="AK16" i="25" s="1"/>
  <c r="AK17" i="25" s="1"/>
  <c r="AK18" i="25" s="1"/>
  <c r="AK19" i="25" s="1"/>
  <c r="AK20" i="25" s="1"/>
  <c r="AK21" i="25" s="1"/>
  <c r="AK22" i="25" s="1"/>
  <c r="AK23" i="25" s="1"/>
  <c r="AK24" i="25" s="1"/>
  <c r="AK25" i="25" s="1"/>
  <c r="AK26" i="25" s="1"/>
  <c r="AK27" i="25" s="1"/>
  <c r="AK28" i="25" s="1"/>
  <c r="AK29" i="25" s="1"/>
  <c r="AK30" i="25" s="1"/>
  <c r="AK31" i="25" s="1"/>
  <c r="AK32" i="25" s="1"/>
  <c r="AK33" i="25" s="1"/>
  <c r="AK34" i="25" s="1"/>
  <c r="AK35" i="25" s="1"/>
  <c r="AK36" i="25" s="1"/>
  <c r="AK37" i="25" s="1"/>
  <c r="AK38" i="25" s="1"/>
  <c r="AK39" i="25" s="1"/>
  <c r="AK40" i="25" s="1"/>
  <c r="AK41" i="25" s="1"/>
  <c r="AK42" i="25" s="1"/>
  <c r="AK43" i="25" s="1"/>
  <c r="AK44" i="25" s="1"/>
  <c r="AK45" i="25" s="1"/>
  <c r="AK46" i="25" s="1"/>
  <c r="AK47" i="25" s="1"/>
  <c r="AK48" i="25" s="1"/>
  <c r="AK49" i="25" s="1"/>
  <c r="AK50" i="25" s="1"/>
  <c r="AK51" i="25" s="1"/>
  <c r="AK52" i="25" s="1"/>
  <c r="AK53" i="25" s="1"/>
  <c r="AK54" i="25" s="1"/>
  <c r="AK55" i="25" s="1"/>
  <c r="AK56" i="25" s="1"/>
  <c r="AK57" i="25" s="1"/>
  <c r="AK58" i="25" s="1"/>
  <c r="AK59" i="25" s="1"/>
  <c r="AK60" i="25" s="1"/>
  <c r="AK61" i="25" s="1"/>
  <c r="AK62" i="25" s="1"/>
  <c r="AK63" i="25" s="1"/>
  <c r="AK64" i="25" s="1"/>
  <c r="AI12" i="25"/>
  <c r="AH12" i="25"/>
  <c r="AH13" i="25" s="1"/>
  <c r="AH14" i="25" s="1"/>
  <c r="AH15" i="25" s="1"/>
  <c r="AH16" i="25" s="1"/>
  <c r="AH17" i="25" s="1"/>
  <c r="AH18" i="25" s="1"/>
  <c r="AH19" i="25" s="1"/>
  <c r="AH20" i="25" s="1"/>
  <c r="AH21" i="25" s="1"/>
  <c r="AH22" i="25" s="1"/>
  <c r="AH23" i="25" s="1"/>
  <c r="AH24" i="25" s="1"/>
  <c r="AH25" i="25" s="1"/>
  <c r="AH26" i="25" s="1"/>
  <c r="AH27" i="25" s="1"/>
  <c r="AH28" i="25" s="1"/>
  <c r="AH29" i="25" s="1"/>
  <c r="AH30" i="25" s="1"/>
  <c r="AH31" i="25" s="1"/>
  <c r="AH32" i="25" s="1"/>
  <c r="AH33" i="25" s="1"/>
  <c r="AH34" i="25" s="1"/>
  <c r="AH35" i="25" s="1"/>
  <c r="AH36" i="25" s="1"/>
  <c r="AH37" i="25" s="1"/>
  <c r="AH38" i="25" s="1"/>
  <c r="AH39" i="25" s="1"/>
  <c r="AH40" i="25" s="1"/>
  <c r="AH41" i="25" s="1"/>
  <c r="AH42" i="25" s="1"/>
  <c r="AH43" i="25" s="1"/>
  <c r="AH44" i="25" s="1"/>
  <c r="AH45" i="25" s="1"/>
  <c r="AH46" i="25" s="1"/>
  <c r="AH47" i="25" s="1"/>
  <c r="AH48" i="25" s="1"/>
  <c r="AH49" i="25" s="1"/>
  <c r="AH50" i="25" s="1"/>
  <c r="AH51" i="25" s="1"/>
  <c r="AH52" i="25" s="1"/>
  <c r="AH53" i="25" s="1"/>
  <c r="AH54" i="25" s="1"/>
  <c r="AH55" i="25" s="1"/>
  <c r="AH56" i="25" s="1"/>
  <c r="AH57" i="25" s="1"/>
  <c r="AH58" i="25" s="1"/>
  <c r="AH59" i="25" s="1"/>
  <c r="AH60" i="25" s="1"/>
  <c r="AH61" i="25" s="1"/>
  <c r="AH62" i="25" s="1"/>
  <c r="AH63" i="25" s="1"/>
  <c r="AH64" i="25" s="1"/>
  <c r="BI11" i="25"/>
  <c r="AN11" i="25"/>
  <c r="AM11" i="25"/>
  <c r="AL11" i="25"/>
  <c r="AI11" i="25"/>
  <c r="S11" i="25"/>
  <c r="C11" i="25"/>
  <c r="R5" i="25"/>
  <c r="Q5" i="25"/>
  <c r="P5" i="25"/>
  <c r="O5" i="25"/>
  <c r="AI10" i="25" s="1"/>
  <c r="N5" i="25"/>
  <c r="M5" i="25"/>
  <c r="L5" i="25"/>
  <c r="K5" i="25"/>
  <c r="J5" i="25"/>
  <c r="I5" i="25"/>
  <c r="H5" i="25"/>
  <c r="G5" i="25"/>
  <c r="F5" i="25"/>
  <c r="E5" i="25"/>
  <c r="D5" i="25"/>
  <c r="C5" i="25"/>
  <c r="B11" i="25" s="1"/>
  <c r="B5" i="25"/>
  <c r="C9" i="25" s="1"/>
  <c r="AN64" i="24"/>
  <c r="AM64" i="24"/>
  <c r="AL64" i="24"/>
  <c r="AI64" i="24"/>
  <c r="AN63" i="24"/>
  <c r="AM63" i="24"/>
  <c r="AL63" i="24"/>
  <c r="AI63" i="24"/>
  <c r="AN62" i="24"/>
  <c r="AM62" i="24"/>
  <c r="AL62" i="24"/>
  <c r="AI62" i="24"/>
  <c r="AN61" i="24"/>
  <c r="AM61" i="24"/>
  <c r="AL61" i="24"/>
  <c r="AI61" i="24"/>
  <c r="AN60" i="24"/>
  <c r="AM60" i="24"/>
  <c r="AL60" i="24"/>
  <c r="AI60" i="24"/>
  <c r="AN59" i="24"/>
  <c r="AM59" i="24"/>
  <c r="AL59" i="24"/>
  <c r="AI59" i="24"/>
  <c r="AN58" i="24"/>
  <c r="AM58" i="24"/>
  <c r="AL58" i="24"/>
  <c r="AI58" i="24"/>
  <c r="AN57" i="24"/>
  <c r="AM57" i="24"/>
  <c r="AL57" i="24"/>
  <c r="AI57" i="24"/>
  <c r="AN56" i="24"/>
  <c r="AM56" i="24"/>
  <c r="AL56" i="24"/>
  <c r="AI56" i="24"/>
  <c r="AN55" i="24"/>
  <c r="AM55" i="24"/>
  <c r="AL55" i="24"/>
  <c r="AI55" i="24"/>
  <c r="AN54" i="24"/>
  <c r="AM54" i="24"/>
  <c r="AL54" i="24"/>
  <c r="AI54" i="24"/>
  <c r="AN53" i="24"/>
  <c r="AM53" i="24"/>
  <c r="AL53" i="24"/>
  <c r="AI53" i="24"/>
  <c r="AN52" i="24"/>
  <c r="AM52" i="24"/>
  <c r="AL52" i="24"/>
  <c r="AI52" i="24"/>
  <c r="AN51" i="24"/>
  <c r="AM51" i="24"/>
  <c r="AL51" i="24"/>
  <c r="AI51" i="24"/>
  <c r="AN50" i="24"/>
  <c r="AM50" i="24"/>
  <c r="AL50" i="24"/>
  <c r="AI50" i="24"/>
  <c r="AN49" i="24"/>
  <c r="AM49" i="24"/>
  <c r="AL49" i="24"/>
  <c r="AI49" i="24"/>
  <c r="AN48" i="24"/>
  <c r="AM48" i="24"/>
  <c r="AL48" i="24"/>
  <c r="AI48" i="24"/>
  <c r="AN47" i="24"/>
  <c r="AM47" i="24"/>
  <c r="AL47" i="24"/>
  <c r="AI47" i="24"/>
  <c r="AN46" i="24"/>
  <c r="AM46" i="24"/>
  <c r="AL46" i="24"/>
  <c r="AI46" i="24"/>
  <c r="AN45" i="24"/>
  <c r="AM45" i="24"/>
  <c r="AL45" i="24"/>
  <c r="AI45" i="24"/>
  <c r="AN44" i="24"/>
  <c r="AM44" i="24"/>
  <c r="AL44" i="24"/>
  <c r="AI44" i="24"/>
  <c r="AN43" i="24"/>
  <c r="AM43" i="24"/>
  <c r="AL43" i="24"/>
  <c r="AI43" i="24"/>
  <c r="AN42" i="24"/>
  <c r="AM42" i="24"/>
  <c r="AL42" i="24"/>
  <c r="AI42" i="24"/>
  <c r="AN41" i="24"/>
  <c r="AM41" i="24"/>
  <c r="AL41" i="24"/>
  <c r="AI41" i="24"/>
  <c r="AN40" i="24"/>
  <c r="AM40" i="24"/>
  <c r="AL40" i="24"/>
  <c r="AI40" i="24"/>
  <c r="AN39" i="24"/>
  <c r="AM39" i="24"/>
  <c r="AL39" i="24"/>
  <c r="AI39" i="24"/>
  <c r="AN38" i="24"/>
  <c r="AM38" i="24"/>
  <c r="AL38" i="24"/>
  <c r="AI38" i="24"/>
  <c r="AN37" i="24"/>
  <c r="AM37" i="24"/>
  <c r="AL37" i="24"/>
  <c r="AI37" i="24"/>
  <c r="AN36" i="24"/>
  <c r="AM36" i="24"/>
  <c r="AL36" i="24"/>
  <c r="AI36" i="24"/>
  <c r="AN35" i="24"/>
  <c r="AM35" i="24"/>
  <c r="AL35" i="24"/>
  <c r="AI35" i="24"/>
  <c r="AN34" i="24"/>
  <c r="AM34" i="24"/>
  <c r="AL34" i="24"/>
  <c r="AI34" i="24"/>
  <c r="AN33" i="24"/>
  <c r="AM33" i="24"/>
  <c r="AL33" i="24"/>
  <c r="AI33" i="24"/>
  <c r="AN32" i="24"/>
  <c r="AM32" i="24"/>
  <c r="AL32" i="24"/>
  <c r="AI32" i="24"/>
  <c r="AN31" i="24"/>
  <c r="AM31" i="24"/>
  <c r="AL31" i="24"/>
  <c r="AI31" i="24"/>
  <c r="AN30" i="24"/>
  <c r="AM30" i="24"/>
  <c r="AL30" i="24"/>
  <c r="AI30" i="24"/>
  <c r="AN29" i="24"/>
  <c r="AM29" i="24"/>
  <c r="AL29" i="24"/>
  <c r="AI29" i="24"/>
  <c r="AN28" i="24"/>
  <c r="AM28" i="24"/>
  <c r="AL28" i="24"/>
  <c r="AI28" i="24"/>
  <c r="AN27" i="24"/>
  <c r="AM27" i="24"/>
  <c r="AL27" i="24"/>
  <c r="AI27" i="24"/>
  <c r="AN26" i="24"/>
  <c r="AM26" i="24"/>
  <c r="AL26" i="24"/>
  <c r="AI26" i="24"/>
  <c r="C26" i="24"/>
  <c r="AN25" i="24"/>
  <c r="AM25" i="24"/>
  <c r="AL25" i="24"/>
  <c r="AI25" i="24"/>
  <c r="AN24" i="24"/>
  <c r="AM24" i="24"/>
  <c r="AL24" i="24"/>
  <c r="AI24" i="24"/>
  <c r="AN23" i="24"/>
  <c r="AM23" i="24"/>
  <c r="AL23" i="24"/>
  <c r="AI23" i="24"/>
  <c r="AN22" i="24"/>
  <c r="AM22" i="24"/>
  <c r="AL22" i="24"/>
  <c r="AI22" i="24"/>
  <c r="AN21" i="24"/>
  <c r="AM21" i="24"/>
  <c r="AL21" i="24"/>
  <c r="AI21" i="24"/>
  <c r="AN20" i="24"/>
  <c r="AM20" i="24"/>
  <c r="AL20" i="24"/>
  <c r="AI20" i="24"/>
  <c r="AN19" i="24"/>
  <c r="AM19" i="24"/>
  <c r="AL19" i="24"/>
  <c r="AI19" i="24"/>
  <c r="AN18" i="24"/>
  <c r="AM18" i="24"/>
  <c r="AL18" i="24"/>
  <c r="AI18" i="24"/>
  <c r="AN17" i="24"/>
  <c r="AM17" i="24"/>
  <c r="AL17" i="24"/>
  <c r="AI17" i="24"/>
  <c r="AN16" i="24"/>
  <c r="AM16" i="24"/>
  <c r="AL16" i="24"/>
  <c r="AI16" i="24"/>
  <c r="AN15" i="24"/>
  <c r="AM15" i="24"/>
  <c r="AL15" i="24"/>
  <c r="AI15" i="24"/>
  <c r="AN14" i="24"/>
  <c r="AM14" i="24"/>
  <c r="AL14" i="24"/>
  <c r="AI14" i="24"/>
  <c r="AN13" i="24"/>
  <c r="AM13" i="24"/>
  <c r="AL13" i="24"/>
  <c r="AI13" i="24"/>
  <c r="AN12" i="24"/>
  <c r="AM12" i="24"/>
  <c r="AL12" i="24"/>
  <c r="AK12" i="24"/>
  <c r="AK13" i="24" s="1"/>
  <c r="AK14" i="24" s="1"/>
  <c r="AK15" i="24" s="1"/>
  <c r="AK16" i="24" s="1"/>
  <c r="AK17" i="24" s="1"/>
  <c r="AK18" i="24" s="1"/>
  <c r="AK19" i="24" s="1"/>
  <c r="AK20" i="24" s="1"/>
  <c r="AK21" i="24" s="1"/>
  <c r="AK22" i="24" s="1"/>
  <c r="AK23" i="24" s="1"/>
  <c r="AK24" i="24" s="1"/>
  <c r="AK25" i="24" s="1"/>
  <c r="AK26" i="24" s="1"/>
  <c r="AK27" i="24" s="1"/>
  <c r="AK28" i="24" s="1"/>
  <c r="AK29" i="24" s="1"/>
  <c r="AK30" i="24" s="1"/>
  <c r="AK31" i="24" s="1"/>
  <c r="AK32" i="24" s="1"/>
  <c r="AK33" i="24" s="1"/>
  <c r="AK34" i="24" s="1"/>
  <c r="AK35" i="24" s="1"/>
  <c r="AK36" i="24" s="1"/>
  <c r="AK37" i="24" s="1"/>
  <c r="AK38" i="24" s="1"/>
  <c r="AK39" i="24" s="1"/>
  <c r="AK40" i="24" s="1"/>
  <c r="AK41" i="24" s="1"/>
  <c r="AK42" i="24" s="1"/>
  <c r="AK43" i="24" s="1"/>
  <c r="AK44" i="24" s="1"/>
  <c r="AK45" i="24" s="1"/>
  <c r="AK46" i="24" s="1"/>
  <c r="AK47" i="24" s="1"/>
  <c r="AK48" i="24" s="1"/>
  <c r="AK49" i="24" s="1"/>
  <c r="AK50" i="24" s="1"/>
  <c r="AK51" i="24" s="1"/>
  <c r="AK52" i="24" s="1"/>
  <c r="AK53" i="24" s="1"/>
  <c r="AK54" i="24" s="1"/>
  <c r="AK55" i="24" s="1"/>
  <c r="AK56" i="24" s="1"/>
  <c r="AK57" i="24" s="1"/>
  <c r="AK58" i="24" s="1"/>
  <c r="AK59" i="24" s="1"/>
  <c r="AK60" i="24" s="1"/>
  <c r="AK61" i="24" s="1"/>
  <c r="AK62" i="24" s="1"/>
  <c r="AK63" i="24" s="1"/>
  <c r="AK64" i="24" s="1"/>
  <c r="AI12" i="24"/>
  <c r="AH12" i="24"/>
  <c r="AH13" i="24" s="1"/>
  <c r="AH14" i="24" s="1"/>
  <c r="AH15" i="24" s="1"/>
  <c r="AH16" i="24" s="1"/>
  <c r="AH17" i="24" s="1"/>
  <c r="AH18" i="24" s="1"/>
  <c r="AH19" i="24" s="1"/>
  <c r="AH20" i="24" s="1"/>
  <c r="AH21" i="24" s="1"/>
  <c r="AH22" i="24" s="1"/>
  <c r="AH23" i="24" s="1"/>
  <c r="AH24" i="24" s="1"/>
  <c r="AH25" i="24" s="1"/>
  <c r="AH26" i="24" s="1"/>
  <c r="AH27" i="24" s="1"/>
  <c r="AH28" i="24" s="1"/>
  <c r="AH29" i="24" s="1"/>
  <c r="AH30" i="24" s="1"/>
  <c r="AH31" i="24" s="1"/>
  <c r="AH32" i="24" s="1"/>
  <c r="AH33" i="24" s="1"/>
  <c r="AH34" i="24" s="1"/>
  <c r="AH35" i="24" s="1"/>
  <c r="AH36" i="24" s="1"/>
  <c r="AH37" i="24" s="1"/>
  <c r="AH38" i="24" s="1"/>
  <c r="AH39" i="24" s="1"/>
  <c r="AH40" i="24" s="1"/>
  <c r="AH41" i="24" s="1"/>
  <c r="AH42" i="24" s="1"/>
  <c r="AH43" i="24" s="1"/>
  <c r="AH44" i="24" s="1"/>
  <c r="AH45" i="24" s="1"/>
  <c r="AH46" i="24" s="1"/>
  <c r="AH47" i="24" s="1"/>
  <c r="AH48" i="24" s="1"/>
  <c r="AH49" i="24" s="1"/>
  <c r="AH50" i="24" s="1"/>
  <c r="AH51" i="24" s="1"/>
  <c r="AH52" i="24" s="1"/>
  <c r="AH53" i="24" s="1"/>
  <c r="AH54" i="24" s="1"/>
  <c r="AH55" i="24" s="1"/>
  <c r="AH56" i="24" s="1"/>
  <c r="AH57" i="24" s="1"/>
  <c r="AH58" i="24" s="1"/>
  <c r="AH59" i="24" s="1"/>
  <c r="AH60" i="24" s="1"/>
  <c r="AH61" i="24" s="1"/>
  <c r="AH62" i="24" s="1"/>
  <c r="AH63" i="24" s="1"/>
  <c r="AH64" i="24" s="1"/>
  <c r="BI11" i="24"/>
  <c r="AN11" i="24"/>
  <c r="AM11" i="24"/>
  <c r="AL11" i="24"/>
  <c r="AI11" i="24"/>
  <c r="S11" i="24"/>
  <c r="C11" i="24"/>
  <c r="R5" i="24"/>
  <c r="Q5" i="24"/>
  <c r="P5" i="24"/>
  <c r="O5" i="24"/>
  <c r="AI10" i="24" s="1"/>
  <c r="N5" i="24"/>
  <c r="M5" i="24"/>
  <c r="L5" i="24"/>
  <c r="K5" i="24"/>
  <c r="J5" i="24"/>
  <c r="I5" i="24"/>
  <c r="H5" i="24"/>
  <c r="G5" i="24"/>
  <c r="F5" i="24"/>
  <c r="E5" i="24"/>
  <c r="D5" i="24"/>
  <c r="C5" i="24"/>
  <c r="B11" i="24" s="1"/>
  <c r="B5" i="24"/>
  <c r="C9" i="24" s="1"/>
  <c r="B12" i="27" l="1"/>
  <c r="BG11" i="27"/>
  <c r="BD11" i="27" s="1"/>
  <c r="AS11" i="27"/>
  <c r="AP11" i="27" s="1"/>
  <c r="V11" i="27"/>
  <c r="L11" i="27"/>
  <c r="G11" i="27"/>
  <c r="J11" i="27" s="1"/>
  <c r="F11" i="27"/>
  <c r="I11" i="27" s="1"/>
  <c r="O53" i="27"/>
  <c r="O52" i="27"/>
  <c r="O51" i="27"/>
  <c r="O50" i="27"/>
  <c r="O49" i="27"/>
  <c r="O48" i="27"/>
  <c r="O47" i="27"/>
  <c r="O46" i="27"/>
  <c r="O45" i="27"/>
  <c r="O44" i="27"/>
  <c r="O43" i="27"/>
  <c r="O42" i="27"/>
  <c r="O41" i="27"/>
  <c r="O40" i="27"/>
  <c r="O39" i="27"/>
  <c r="O38" i="27"/>
  <c r="BH53" i="27" s="1"/>
  <c r="O37" i="27"/>
  <c r="BH52" i="27" s="1"/>
  <c r="O36" i="27"/>
  <c r="BH51" i="27" s="1"/>
  <c r="O35" i="27"/>
  <c r="BH50" i="27" s="1"/>
  <c r="O34" i="27"/>
  <c r="BH49" i="27" s="1"/>
  <c r="O33" i="27"/>
  <c r="BH48" i="27" s="1"/>
  <c r="O32" i="27"/>
  <c r="BH47" i="27" s="1"/>
  <c r="O31" i="27"/>
  <c r="BH46" i="27" s="1"/>
  <c r="O30" i="27"/>
  <c r="BH45" i="27" s="1"/>
  <c r="O29" i="27"/>
  <c r="BH44" i="27" s="1"/>
  <c r="O28" i="27"/>
  <c r="O27" i="27"/>
  <c r="O26" i="27"/>
  <c r="BE53" i="27"/>
  <c r="P53" i="27" s="1"/>
  <c r="BE52" i="27"/>
  <c r="P52" i="27" s="1"/>
  <c r="BE51" i="27"/>
  <c r="P51" i="27" s="1"/>
  <c r="BE50" i="27"/>
  <c r="P50" i="27" s="1"/>
  <c r="BE49" i="27"/>
  <c r="P49" i="27" s="1"/>
  <c r="BE48" i="27"/>
  <c r="P48" i="27" s="1"/>
  <c r="BE47" i="27"/>
  <c r="P47" i="27" s="1"/>
  <c r="BE46" i="27"/>
  <c r="P46" i="27" s="1"/>
  <c r="BE45" i="27"/>
  <c r="P45" i="27" s="1"/>
  <c r="BE44" i="27"/>
  <c r="P44" i="27" s="1"/>
  <c r="AQ10" i="27"/>
  <c r="BE10" i="27"/>
  <c r="M11" i="27"/>
  <c r="O11" i="27"/>
  <c r="T11" i="27"/>
  <c r="U11" i="27" s="1"/>
  <c r="W11" i="27" s="1"/>
  <c r="AQ11" i="27"/>
  <c r="N11" i="27" s="1"/>
  <c r="BE11" i="27"/>
  <c r="P11" i="27" s="1"/>
  <c r="O12" i="27"/>
  <c r="O13" i="27"/>
  <c r="O14" i="27"/>
  <c r="O15" i="27"/>
  <c r="O16" i="27"/>
  <c r="O17" i="27"/>
  <c r="O18" i="27"/>
  <c r="O19" i="27"/>
  <c r="O20" i="27"/>
  <c r="O21" i="27"/>
  <c r="O22" i="27"/>
  <c r="O23" i="27"/>
  <c r="O24" i="27"/>
  <c r="O25" i="27"/>
  <c r="B12" i="26"/>
  <c r="BG11" i="26"/>
  <c r="BD11" i="26" s="1"/>
  <c r="AS11" i="26"/>
  <c r="AP11" i="26" s="1"/>
  <c r="V11" i="26"/>
  <c r="L11" i="26"/>
  <c r="G11" i="26"/>
  <c r="J11" i="26" s="1"/>
  <c r="F11" i="26"/>
  <c r="I11" i="26" s="1"/>
  <c r="O53" i="26"/>
  <c r="O52" i="26"/>
  <c r="O51" i="26"/>
  <c r="O50" i="26"/>
  <c r="O49" i="26"/>
  <c r="O48" i="26"/>
  <c r="O47" i="26"/>
  <c r="O46" i="26"/>
  <c r="O45" i="26"/>
  <c r="O44" i="26"/>
  <c r="O43" i="26"/>
  <c r="O42" i="26"/>
  <c r="O41" i="26"/>
  <c r="O40" i="26"/>
  <c r="O39" i="26"/>
  <c r="O38" i="26"/>
  <c r="BH53" i="26" s="1"/>
  <c r="O37" i="26"/>
  <c r="BH52" i="26" s="1"/>
  <c r="O36" i="26"/>
  <c r="BH51" i="26" s="1"/>
  <c r="O35" i="26"/>
  <c r="BH50" i="26" s="1"/>
  <c r="O34" i="26"/>
  <c r="BH49" i="26" s="1"/>
  <c r="O33" i="26"/>
  <c r="BH48" i="26" s="1"/>
  <c r="O32" i="26"/>
  <c r="BH47" i="26" s="1"/>
  <c r="O31" i="26"/>
  <c r="BH46" i="26" s="1"/>
  <c r="O30" i="26"/>
  <c r="BH45" i="26" s="1"/>
  <c r="O29" i="26"/>
  <c r="BH44" i="26" s="1"/>
  <c r="O28" i="26"/>
  <c r="O27" i="26"/>
  <c r="O26" i="26"/>
  <c r="BE53" i="26"/>
  <c r="P53" i="26" s="1"/>
  <c r="BE52" i="26"/>
  <c r="P52" i="26" s="1"/>
  <c r="BE51" i="26"/>
  <c r="P51" i="26" s="1"/>
  <c r="BE50" i="26"/>
  <c r="P50" i="26" s="1"/>
  <c r="BE49" i="26"/>
  <c r="P49" i="26" s="1"/>
  <c r="BE48" i="26"/>
  <c r="P48" i="26" s="1"/>
  <c r="BE47" i="26"/>
  <c r="P47" i="26" s="1"/>
  <c r="BE46" i="26"/>
  <c r="P46" i="26" s="1"/>
  <c r="BE45" i="26"/>
  <c r="P45" i="26" s="1"/>
  <c r="BE44" i="26"/>
  <c r="P44" i="26" s="1"/>
  <c r="AQ10" i="26"/>
  <c r="BE10" i="26"/>
  <c r="M11" i="26"/>
  <c r="O11" i="26"/>
  <c r="T11" i="26"/>
  <c r="U11" i="26" s="1"/>
  <c r="W11" i="26" s="1"/>
  <c r="AQ11" i="26"/>
  <c r="N11" i="26" s="1"/>
  <c r="BE11" i="26"/>
  <c r="P11" i="26" s="1"/>
  <c r="O12" i="26"/>
  <c r="O13" i="26"/>
  <c r="O14" i="26"/>
  <c r="O15" i="26"/>
  <c r="O16" i="26"/>
  <c r="O17" i="26"/>
  <c r="O18" i="26"/>
  <c r="O19" i="26"/>
  <c r="O20" i="26"/>
  <c r="O21" i="26"/>
  <c r="O22" i="26"/>
  <c r="O23" i="26"/>
  <c r="O24" i="26"/>
  <c r="O25" i="26"/>
  <c r="B12" i="25"/>
  <c r="BG11" i="25"/>
  <c r="BD11" i="25" s="1"/>
  <c r="AS11" i="25"/>
  <c r="AP11" i="25" s="1"/>
  <c r="V11" i="25"/>
  <c r="L11" i="25"/>
  <c r="G11" i="25"/>
  <c r="J11" i="25" s="1"/>
  <c r="F11" i="25"/>
  <c r="I11" i="25" s="1"/>
  <c r="O53" i="25"/>
  <c r="O52" i="25"/>
  <c r="O51" i="25"/>
  <c r="O50" i="25"/>
  <c r="O49" i="25"/>
  <c r="O48" i="25"/>
  <c r="O47" i="25"/>
  <c r="O46" i="25"/>
  <c r="O45" i="25"/>
  <c r="O44" i="25"/>
  <c r="O43" i="25"/>
  <c r="O42" i="25"/>
  <c r="O41" i="25"/>
  <c r="O40" i="25"/>
  <c r="O39" i="25"/>
  <c r="O38" i="25"/>
  <c r="BH53" i="25" s="1"/>
  <c r="O37" i="25"/>
  <c r="BH52" i="25" s="1"/>
  <c r="O36" i="25"/>
  <c r="BH51" i="25" s="1"/>
  <c r="O35" i="25"/>
  <c r="BH50" i="25" s="1"/>
  <c r="O34" i="25"/>
  <c r="BH49" i="25" s="1"/>
  <c r="O33" i="25"/>
  <c r="BH48" i="25" s="1"/>
  <c r="O32" i="25"/>
  <c r="BH47" i="25" s="1"/>
  <c r="O31" i="25"/>
  <c r="BH46" i="25" s="1"/>
  <c r="O30" i="25"/>
  <c r="BH45" i="25" s="1"/>
  <c r="O29" i="25"/>
  <c r="BH44" i="25" s="1"/>
  <c r="O28" i="25"/>
  <c r="O27" i="25"/>
  <c r="O26" i="25"/>
  <c r="BE53" i="25"/>
  <c r="P53" i="25" s="1"/>
  <c r="BE52" i="25"/>
  <c r="P52" i="25" s="1"/>
  <c r="BE51" i="25"/>
  <c r="P51" i="25" s="1"/>
  <c r="BE50" i="25"/>
  <c r="P50" i="25" s="1"/>
  <c r="BE49" i="25"/>
  <c r="P49" i="25" s="1"/>
  <c r="BE48" i="25"/>
  <c r="P48" i="25" s="1"/>
  <c r="BE47" i="25"/>
  <c r="P47" i="25" s="1"/>
  <c r="BE46" i="25"/>
  <c r="P46" i="25" s="1"/>
  <c r="BE45" i="25"/>
  <c r="P45" i="25" s="1"/>
  <c r="BE44" i="25"/>
  <c r="P44" i="25" s="1"/>
  <c r="AQ10" i="25"/>
  <c r="BE10" i="25"/>
  <c r="M11" i="25"/>
  <c r="O11" i="25"/>
  <c r="T11" i="25"/>
  <c r="U11" i="25" s="1"/>
  <c r="W11" i="25" s="1"/>
  <c r="AQ11" i="25"/>
  <c r="N11" i="25" s="1"/>
  <c r="BE11" i="25"/>
  <c r="P11" i="25" s="1"/>
  <c r="O12" i="25"/>
  <c r="O13" i="25"/>
  <c r="O14" i="25"/>
  <c r="O15" i="25"/>
  <c r="O16" i="25"/>
  <c r="O17" i="25"/>
  <c r="O18" i="25"/>
  <c r="O19" i="25"/>
  <c r="O20" i="25"/>
  <c r="O21" i="25"/>
  <c r="O22" i="25"/>
  <c r="O23" i="25"/>
  <c r="O24" i="25"/>
  <c r="O25" i="25"/>
  <c r="B12" i="24"/>
  <c r="BG11" i="24"/>
  <c r="BD11" i="24" s="1"/>
  <c r="AS11" i="24"/>
  <c r="AP11" i="24" s="1"/>
  <c r="V11" i="24"/>
  <c r="L11" i="24"/>
  <c r="G11" i="24"/>
  <c r="J11" i="24" s="1"/>
  <c r="F11" i="24"/>
  <c r="I11" i="24" s="1"/>
  <c r="O53" i="24"/>
  <c r="O52" i="24"/>
  <c r="O51" i="24"/>
  <c r="O50" i="24"/>
  <c r="O49" i="24"/>
  <c r="O48" i="24"/>
  <c r="O47" i="24"/>
  <c r="O46" i="24"/>
  <c r="O45" i="24"/>
  <c r="O44" i="24"/>
  <c r="O43" i="24"/>
  <c r="O42" i="24"/>
  <c r="O41" i="24"/>
  <c r="O40" i="24"/>
  <c r="O39" i="24"/>
  <c r="O38" i="24"/>
  <c r="BH53" i="24" s="1"/>
  <c r="O37" i="24"/>
  <c r="BH52" i="24" s="1"/>
  <c r="O36" i="24"/>
  <c r="BH51" i="24" s="1"/>
  <c r="O35" i="24"/>
  <c r="BH50" i="24" s="1"/>
  <c r="O34" i="24"/>
  <c r="BH49" i="24" s="1"/>
  <c r="O33" i="24"/>
  <c r="BH48" i="24" s="1"/>
  <c r="O32" i="24"/>
  <c r="BH47" i="24" s="1"/>
  <c r="O31" i="24"/>
  <c r="BH46" i="24" s="1"/>
  <c r="O30" i="24"/>
  <c r="BH45" i="24" s="1"/>
  <c r="O29" i="24"/>
  <c r="BH44" i="24" s="1"/>
  <c r="O28" i="24"/>
  <c r="O27" i="24"/>
  <c r="O26" i="24"/>
  <c r="BE53" i="24"/>
  <c r="P53" i="24" s="1"/>
  <c r="BE52" i="24"/>
  <c r="P52" i="24" s="1"/>
  <c r="BE51" i="24"/>
  <c r="P51" i="24" s="1"/>
  <c r="BE50" i="24"/>
  <c r="P50" i="24" s="1"/>
  <c r="BE49" i="24"/>
  <c r="P49" i="24" s="1"/>
  <c r="BE48" i="24"/>
  <c r="P48" i="24" s="1"/>
  <c r="BE47" i="24"/>
  <c r="P47" i="24" s="1"/>
  <c r="BE46" i="24"/>
  <c r="P46" i="24" s="1"/>
  <c r="BE45" i="24"/>
  <c r="P45" i="24" s="1"/>
  <c r="BE44" i="24"/>
  <c r="P44" i="24" s="1"/>
  <c r="AQ10" i="24"/>
  <c r="BE10" i="24"/>
  <c r="M11" i="24"/>
  <c r="O11" i="24"/>
  <c r="T11" i="24"/>
  <c r="U11" i="24" s="1"/>
  <c r="W11" i="24" s="1"/>
  <c r="AQ11" i="24"/>
  <c r="N11" i="24" s="1"/>
  <c r="BE11" i="24"/>
  <c r="P11" i="24" s="1"/>
  <c r="O12" i="24"/>
  <c r="O13" i="24"/>
  <c r="O14" i="24"/>
  <c r="O15" i="24"/>
  <c r="O16" i="24"/>
  <c r="O17" i="24"/>
  <c r="O18" i="24"/>
  <c r="O19" i="24"/>
  <c r="O20" i="24"/>
  <c r="O21" i="24"/>
  <c r="O22" i="24"/>
  <c r="O23" i="24"/>
  <c r="O24" i="24"/>
  <c r="O25" i="24"/>
  <c r="X11" i="27" l="1"/>
  <c r="BI50" i="27"/>
  <c r="BH40" i="27"/>
  <c r="BE40" i="27" s="1"/>
  <c r="P40" i="27" s="1"/>
  <c r="BI49" i="27"/>
  <c r="BH39" i="27"/>
  <c r="BE39" i="27" s="1"/>
  <c r="P39" i="27" s="1"/>
  <c r="BI48" i="27"/>
  <c r="BH38" i="27"/>
  <c r="BE38" i="27" s="1"/>
  <c r="P38" i="27" s="1"/>
  <c r="BI47" i="27"/>
  <c r="BH37" i="27"/>
  <c r="BE37" i="27" s="1"/>
  <c r="P37" i="27" s="1"/>
  <c r="BI46" i="27"/>
  <c r="BH36" i="27"/>
  <c r="BE36" i="27" s="1"/>
  <c r="P36" i="27" s="1"/>
  <c r="BI45" i="27"/>
  <c r="BH35" i="27"/>
  <c r="BE35" i="27" s="1"/>
  <c r="P35" i="27" s="1"/>
  <c r="BI44" i="27"/>
  <c r="BH34" i="27"/>
  <c r="BE34" i="27" s="1"/>
  <c r="P34" i="27" s="1"/>
  <c r="BI43" i="27"/>
  <c r="BH33" i="27"/>
  <c r="BE33" i="27" s="1"/>
  <c r="P33" i="27" s="1"/>
  <c r="BI42" i="27"/>
  <c r="BH32" i="27"/>
  <c r="BE32" i="27" s="1"/>
  <c r="P32" i="27" s="1"/>
  <c r="BI41" i="27"/>
  <c r="BH31" i="27"/>
  <c r="BE31" i="27" s="1"/>
  <c r="P31" i="27" s="1"/>
  <c r="BI40" i="27"/>
  <c r="BH30" i="27"/>
  <c r="BE30" i="27" s="1"/>
  <c r="P30" i="27" s="1"/>
  <c r="BI39" i="27"/>
  <c r="BH29" i="27"/>
  <c r="BE29" i="27" s="1"/>
  <c r="P29" i="27" s="1"/>
  <c r="BI38" i="27"/>
  <c r="BH28" i="27"/>
  <c r="BE28" i="27" s="1"/>
  <c r="P28" i="27" s="1"/>
  <c r="BI37" i="27"/>
  <c r="BH27" i="27"/>
  <c r="BE27" i="27" s="1"/>
  <c r="P27" i="27" s="1"/>
  <c r="BI36" i="27"/>
  <c r="BI35" i="27"/>
  <c r="BI34" i="27"/>
  <c r="BI33" i="27"/>
  <c r="BI32" i="27"/>
  <c r="BI31" i="27"/>
  <c r="BI30" i="27"/>
  <c r="BI29" i="27"/>
  <c r="BI28" i="27"/>
  <c r="BI27" i="27"/>
  <c r="BI26" i="27"/>
  <c r="BH26" i="27"/>
  <c r="BE26" i="27" s="1"/>
  <c r="P26" i="27" s="1"/>
  <c r="BI25" i="27"/>
  <c r="BH25" i="27"/>
  <c r="BE25" i="27" s="1"/>
  <c r="P25" i="27" s="1"/>
  <c r="BI24" i="27"/>
  <c r="BH24" i="27"/>
  <c r="BE24" i="27" s="1"/>
  <c r="P24" i="27" s="1"/>
  <c r="BI23" i="27"/>
  <c r="BH23" i="27"/>
  <c r="BE23" i="27" s="1"/>
  <c r="P23" i="27" s="1"/>
  <c r="BI22" i="27"/>
  <c r="BH22" i="27"/>
  <c r="BE22" i="27" s="1"/>
  <c r="P22" i="27" s="1"/>
  <c r="BI21" i="27"/>
  <c r="BH21" i="27"/>
  <c r="BE21" i="27" s="1"/>
  <c r="P21" i="27" s="1"/>
  <c r="BI20" i="27"/>
  <c r="BH20" i="27"/>
  <c r="BE20" i="27" s="1"/>
  <c r="P20" i="27" s="1"/>
  <c r="BI19" i="27"/>
  <c r="BH19" i="27"/>
  <c r="BE19" i="27" s="1"/>
  <c r="P19" i="27" s="1"/>
  <c r="BI18" i="27"/>
  <c r="BH18" i="27"/>
  <c r="BE18" i="27" s="1"/>
  <c r="P18" i="27" s="1"/>
  <c r="BI17" i="27"/>
  <c r="BH17" i="27"/>
  <c r="BE17" i="27" s="1"/>
  <c r="P17" i="27" s="1"/>
  <c r="BI16" i="27"/>
  <c r="BH16" i="27"/>
  <c r="BE16" i="27" s="1"/>
  <c r="P16" i="27" s="1"/>
  <c r="BI15" i="27"/>
  <c r="BH15" i="27"/>
  <c r="BE15" i="27" s="1"/>
  <c r="P15" i="27" s="1"/>
  <c r="BI14" i="27"/>
  <c r="BH14" i="27"/>
  <c r="BE14" i="27" s="1"/>
  <c r="P14" i="27" s="1"/>
  <c r="BI13" i="27"/>
  <c r="BH13" i="27"/>
  <c r="BE13" i="27" s="1"/>
  <c r="P13" i="27" s="1"/>
  <c r="BI12" i="27"/>
  <c r="BH12" i="27"/>
  <c r="BE12" i="27" s="1"/>
  <c r="P12" i="27" s="1"/>
  <c r="BB12" i="27"/>
  <c r="BA12" i="27"/>
  <c r="AZ12" i="27"/>
  <c r="AQ12" i="27" s="1"/>
  <c r="N12" i="27" s="1"/>
  <c r="AY12" i="27"/>
  <c r="AX12" i="27"/>
  <c r="AW12" i="27"/>
  <c r="AV12" i="27"/>
  <c r="AU12" i="27"/>
  <c r="AT12" i="27"/>
  <c r="E11" i="27"/>
  <c r="H11" i="27" s="1"/>
  <c r="K11" i="27" s="1"/>
  <c r="Q11" i="27" s="1"/>
  <c r="BI51" i="27"/>
  <c r="BH41" i="27"/>
  <c r="BE41" i="27" s="1"/>
  <c r="P41" i="27" s="1"/>
  <c r="BI52" i="27"/>
  <c r="BH42" i="27"/>
  <c r="BE42" i="27" s="1"/>
  <c r="P42" i="27" s="1"/>
  <c r="BI53" i="27"/>
  <c r="BH43" i="27"/>
  <c r="BE43" i="27" s="1"/>
  <c r="P43" i="27" s="1"/>
  <c r="B13" i="27"/>
  <c r="BG12" i="27"/>
  <c r="BD12" i="27" s="1"/>
  <c r="AS12" i="27"/>
  <c r="AP12" i="27" s="1"/>
  <c r="V12" i="27"/>
  <c r="G12" i="27"/>
  <c r="J12" i="27" s="1"/>
  <c r="A12" i="27"/>
  <c r="X11" i="26"/>
  <c r="BI50" i="26"/>
  <c r="BH40" i="26"/>
  <c r="BE40" i="26" s="1"/>
  <c r="P40" i="26" s="1"/>
  <c r="BI49" i="26"/>
  <c r="BH39" i="26"/>
  <c r="BE39" i="26" s="1"/>
  <c r="P39" i="26" s="1"/>
  <c r="BI48" i="26"/>
  <c r="BH38" i="26"/>
  <c r="BE38" i="26" s="1"/>
  <c r="P38" i="26" s="1"/>
  <c r="BI47" i="26"/>
  <c r="BH37" i="26"/>
  <c r="BE37" i="26" s="1"/>
  <c r="P37" i="26" s="1"/>
  <c r="BI46" i="26"/>
  <c r="BH36" i="26"/>
  <c r="BE36" i="26" s="1"/>
  <c r="P36" i="26" s="1"/>
  <c r="BI45" i="26"/>
  <c r="BH35" i="26"/>
  <c r="BE35" i="26" s="1"/>
  <c r="P35" i="26" s="1"/>
  <c r="BI44" i="26"/>
  <c r="BH34" i="26"/>
  <c r="BE34" i="26" s="1"/>
  <c r="P34" i="26" s="1"/>
  <c r="BI43" i="26"/>
  <c r="BH33" i="26"/>
  <c r="BE33" i="26" s="1"/>
  <c r="P33" i="26" s="1"/>
  <c r="BI42" i="26"/>
  <c r="BH32" i="26"/>
  <c r="BE32" i="26" s="1"/>
  <c r="P32" i="26" s="1"/>
  <c r="BI41" i="26"/>
  <c r="BH31" i="26"/>
  <c r="BE31" i="26" s="1"/>
  <c r="P31" i="26" s="1"/>
  <c r="BI40" i="26"/>
  <c r="BH30" i="26"/>
  <c r="BE30" i="26" s="1"/>
  <c r="P30" i="26" s="1"/>
  <c r="BI39" i="26"/>
  <c r="BH29" i="26"/>
  <c r="BE29" i="26" s="1"/>
  <c r="P29" i="26" s="1"/>
  <c r="BI38" i="26"/>
  <c r="BH28" i="26"/>
  <c r="BE28" i="26" s="1"/>
  <c r="P28" i="26" s="1"/>
  <c r="BI37" i="26"/>
  <c r="BH27" i="26"/>
  <c r="BE27" i="26" s="1"/>
  <c r="P27" i="26" s="1"/>
  <c r="BI36" i="26"/>
  <c r="BI35" i="26"/>
  <c r="BI34" i="26"/>
  <c r="BI33" i="26"/>
  <c r="BI32" i="26"/>
  <c r="BI31" i="26"/>
  <c r="BI30" i="26"/>
  <c r="BI29" i="26"/>
  <c r="BI28" i="26"/>
  <c r="BI27" i="26"/>
  <c r="BI26" i="26"/>
  <c r="BH26" i="26"/>
  <c r="BE26" i="26" s="1"/>
  <c r="P26" i="26" s="1"/>
  <c r="BI25" i="26"/>
  <c r="BH25" i="26"/>
  <c r="BE25" i="26" s="1"/>
  <c r="P25" i="26" s="1"/>
  <c r="BI24" i="26"/>
  <c r="BH24" i="26"/>
  <c r="BE24" i="26" s="1"/>
  <c r="P24" i="26" s="1"/>
  <c r="BI23" i="26"/>
  <c r="BH23" i="26"/>
  <c r="BE23" i="26" s="1"/>
  <c r="P23" i="26" s="1"/>
  <c r="BI22" i="26"/>
  <c r="BH22" i="26"/>
  <c r="BE22" i="26" s="1"/>
  <c r="P22" i="26" s="1"/>
  <c r="BI21" i="26"/>
  <c r="BH21" i="26"/>
  <c r="BE21" i="26" s="1"/>
  <c r="P21" i="26" s="1"/>
  <c r="BI20" i="26"/>
  <c r="BH20" i="26"/>
  <c r="BE20" i="26" s="1"/>
  <c r="P20" i="26" s="1"/>
  <c r="BI19" i="26"/>
  <c r="BH19" i="26"/>
  <c r="BE19" i="26" s="1"/>
  <c r="P19" i="26" s="1"/>
  <c r="BI18" i="26"/>
  <c r="BH18" i="26"/>
  <c r="BE18" i="26" s="1"/>
  <c r="P18" i="26" s="1"/>
  <c r="BI17" i="26"/>
  <c r="BH17" i="26"/>
  <c r="BE17" i="26" s="1"/>
  <c r="P17" i="26" s="1"/>
  <c r="BI16" i="26"/>
  <c r="BH16" i="26"/>
  <c r="BE16" i="26" s="1"/>
  <c r="P16" i="26" s="1"/>
  <c r="BI15" i="26"/>
  <c r="BH15" i="26"/>
  <c r="BE15" i="26" s="1"/>
  <c r="P15" i="26" s="1"/>
  <c r="BI14" i="26"/>
  <c r="BH14" i="26"/>
  <c r="BE14" i="26" s="1"/>
  <c r="P14" i="26" s="1"/>
  <c r="BI13" i="26"/>
  <c r="BH13" i="26"/>
  <c r="BE13" i="26" s="1"/>
  <c r="P13" i="26" s="1"/>
  <c r="BI12" i="26"/>
  <c r="BH12" i="26"/>
  <c r="BE12" i="26" s="1"/>
  <c r="P12" i="26" s="1"/>
  <c r="BB12" i="26"/>
  <c r="BA12" i="26"/>
  <c r="AZ12" i="26"/>
  <c r="AQ12" i="26" s="1"/>
  <c r="N12" i="26" s="1"/>
  <c r="AY12" i="26"/>
  <c r="AX12" i="26"/>
  <c r="AW12" i="26"/>
  <c r="AV12" i="26"/>
  <c r="AU12" i="26"/>
  <c r="AT12" i="26"/>
  <c r="E11" i="26"/>
  <c r="H11" i="26" s="1"/>
  <c r="K11" i="26" s="1"/>
  <c r="Q11" i="26" s="1"/>
  <c r="BI51" i="26"/>
  <c r="BH41" i="26"/>
  <c r="BE41" i="26" s="1"/>
  <c r="P41" i="26" s="1"/>
  <c r="BI52" i="26"/>
  <c r="BH42" i="26"/>
  <c r="BE42" i="26" s="1"/>
  <c r="P42" i="26" s="1"/>
  <c r="BI53" i="26"/>
  <c r="BH43" i="26"/>
  <c r="BE43" i="26" s="1"/>
  <c r="P43" i="26" s="1"/>
  <c r="B13" i="26"/>
  <c r="BG12" i="26"/>
  <c r="BD12" i="26" s="1"/>
  <c r="AS12" i="26"/>
  <c r="AP12" i="26" s="1"/>
  <c r="V12" i="26"/>
  <c r="G12" i="26"/>
  <c r="J12" i="26" s="1"/>
  <c r="A12" i="26"/>
  <c r="X11" i="25"/>
  <c r="BI50" i="25"/>
  <c r="BH40" i="25"/>
  <c r="BE40" i="25" s="1"/>
  <c r="P40" i="25" s="1"/>
  <c r="BI49" i="25"/>
  <c r="BH39" i="25"/>
  <c r="BE39" i="25" s="1"/>
  <c r="P39" i="25" s="1"/>
  <c r="BI48" i="25"/>
  <c r="BH38" i="25"/>
  <c r="BE38" i="25" s="1"/>
  <c r="P38" i="25" s="1"/>
  <c r="BI47" i="25"/>
  <c r="BH37" i="25"/>
  <c r="BE37" i="25" s="1"/>
  <c r="P37" i="25" s="1"/>
  <c r="BI46" i="25"/>
  <c r="BH36" i="25"/>
  <c r="BE36" i="25" s="1"/>
  <c r="P36" i="25" s="1"/>
  <c r="BI45" i="25"/>
  <c r="BH35" i="25"/>
  <c r="BE35" i="25" s="1"/>
  <c r="P35" i="25" s="1"/>
  <c r="BI44" i="25"/>
  <c r="BH34" i="25"/>
  <c r="BE34" i="25" s="1"/>
  <c r="P34" i="25" s="1"/>
  <c r="BI43" i="25"/>
  <c r="BH33" i="25"/>
  <c r="BE33" i="25" s="1"/>
  <c r="P33" i="25" s="1"/>
  <c r="BI42" i="25"/>
  <c r="BH32" i="25"/>
  <c r="BE32" i="25" s="1"/>
  <c r="P32" i="25" s="1"/>
  <c r="BI41" i="25"/>
  <c r="BH31" i="25"/>
  <c r="BE31" i="25" s="1"/>
  <c r="P31" i="25" s="1"/>
  <c r="BI40" i="25"/>
  <c r="BH30" i="25"/>
  <c r="BE30" i="25" s="1"/>
  <c r="P30" i="25" s="1"/>
  <c r="BI39" i="25"/>
  <c r="BH29" i="25"/>
  <c r="BE29" i="25" s="1"/>
  <c r="P29" i="25" s="1"/>
  <c r="BI38" i="25"/>
  <c r="BH28" i="25"/>
  <c r="BE28" i="25" s="1"/>
  <c r="P28" i="25" s="1"/>
  <c r="BI37" i="25"/>
  <c r="BH27" i="25"/>
  <c r="BE27" i="25" s="1"/>
  <c r="P27" i="25" s="1"/>
  <c r="BI36" i="25"/>
  <c r="BI35" i="25"/>
  <c r="BI34" i="25"/>
  <c r="BI33" i="25"/>
  <c r="BI32" i="25"/>
  <c r="BI31" i="25"/>
  <c r="BI30" i="25"/>
  <c r="BI29" i="25"/>
  <c r="BI28" i="25"/>
  <c r="BI27" i="25"/>
  <c r="BI26" i="25"/>
  <c r="BH26" i="25"/>
  <c r="BE26" i="25" s="1"/>
  <c r="P26" i="25" s="1"/>
  <c r="BI25" i="25"/>
  <c r="BH25" i="25"/>
  <c r="BE25" i="25" s="1"/>
  <c r="P25" i="25" s="1"/>
  <c r="BI24" i="25"/>
  <c r="BH24" i="25"/>
  <c r="BE24" i="25" s="1"/>
  <c r="P24" i="25" s="1"/>
  <c r="BI23" i="25"/>
  <c r="BH23" i="25"/>
  <c r="BE23" i="25" s="1"/>
  <c r="P23" i="25" s="1"/>
  <c r="BI22" i="25"/>
  <c r="BH22" i="25"/>
  <c r="BE22" i="25" s="1"/>
  <c r="P22" i="25" s="1"/>
  <c r="BI21" i="25"/>
  <c r="BH21" i="25"/>
  <c r="BE21" i="25" s="1"/>
  <c r="P21" i="25" s="1"/>
  <c r="BI20" i="25"/>
  <c r="BH20" i="25"/>
  <c r="BE20" i="25" s="1"/>
  <c r="P20" i="25" s="1"/>
  <c r="BI19" i="25"/>
  <c r="BH19" i="25"/>
  <c r="BE19" i="25" s="1"/>
  <c r="P19" i="25" s="1"/>
  <c r="BI18" i="25"/>
  <c r="BH18" i="25"/>
  <c r="BE18" i="25" s="1"/>
  <c r="P18" i="25" s="1"/>
  <c r="BI17" i="25"/>
  <c r="BH17" i="25"/>
  <c r="BE17" i="25" s="1"/>
  <c r="P17" i="25" s="1"/>
  <c r="BI16" i="25"/>
  <c r="BH16" i="25"/>
  <c r="BE16" i="25" s="1"/>
  <c r="P16" i="25" s="1"/>
  <c r="BI15" i="25"/>
  <c r="BH15" i="25"/>
  <c r="BE15" i="25" s="1"/>
  <c r="P15" i="25" s="1"/>
  <c r="BI14" i="25"/>
  <c r="BH14" i="25"/>
  <c r="BE14" i="25" s="1"/>
  <c r="P14" i="25" s="1"/>
  <c r="BI13" i="25"/>
  <c r="BH13" i="25"/>
  <c r="BE13" i="25" s="1"/>
  <c r="P13" i="25" s="1"/>
  <c r="BI12" i="25"/>
  <c r="BH12" i="25"/>
  <c r="BE12" i="25" s="1"/>
  <c r="P12" i="25" s="1"/>
  <c r="BB12" i="25"/>
  <c r="BA12" i="25"/>
  <c r="AZ12" i="25"/>
  <c r="AQ12" i="25" s="1"/>
  <c r="N12" i="25" s="1"/>
  <c r="AY12" i="25"/>
  <c r="AX12" i="25"/>
  <c r="AW12" i="25"/>
  <c r="AV12" i="25"/>
  <c r="AU12" i="25"/>
  <c r="AT12" i="25"/>
  <c r="E11" i="25"/>
  <c r="H11" i="25" s="1"/>
  <c r="K11" i="25" s="1"/>
  <c r="Q11" i="25" s="1"/>
  <c r="BI51" i="25"/>
  <c r="BH41" i="25"/>
  <c r="BE41" i="25" s="1"/>
  <c r="P41" i="25" s="1"/>
  <c r="BI52" i="25"/>
  <c r="BH42" i="25"/>
  <c r="BE42" i="25" s="1"/>
  <c r="P42" i="25" s="1"/>
  <c r="BI53" i="25"/>
  <c r="BH43" i="25"/>
  <c r="BE43" i="25" s="1"/>
  <c r="P43" i="25" s="1"/>
  <c r="B13" i="25"/>
  <c r="BG12" i="25"/>
  <c r="BD12" i="25" s="1"/>
  <c r="AS12" i="25"/>
  <c r="AP12" i="25" s="1"/>
  <c r="V12" i="25"/>
  <c r="G12" i="25"/>
  <c r="J12" i="25" s="1"/>
  <c r="A12" i="25"/>
  <c r="X11" i="24"/>
  <c r="BI50" i="24"/>
  <c r="BH40" i="24"/>
  <c r="BE40" i="24" s="1"/>
  <c r="P40" i="24" s="1"/>
  <c r="BI49" i="24"/>
  <c r="BH39" i="24"/>
  <c r="BE39" i="24" s="1"/>
  <c r="P39" i="24" s="1"/>
  <c r="BI48" i="24"/>
  <c r="BH38" i="24"/>
  <c r="BE38" i="24" s="1"/>
  <c r="P38" i="24" s="1"/>
  <c r="BI47" i="24"/>
  <c r="BH37" i="24"/>
  <c r="BE37" i="24" s="1"/>
  <c r="P37" i="24" s="1"/>
  <c r="BI46" i="24"/>
  <c r="BH36" i="24"/>
  <c r="BE36" i="24" s="1"/>
  <c r="P36" i="24" s="1"/>
  <c r="BI45" i="24"/>
  <c r="BH35" i="24"/>
  <c r="BE35" i="24" s="1"/>
  <c r="P35" i="24" s="1"/>
  <c r="BI44" i="24"/>
  <c r="BH34" i="24"/>
  <c r="BE34" i="24" s="1"/>
  <c r="P34" i="24" s="1"/>
  <c r="BI43" i="24"/>
  <c r="BH33" i="24"/>
  <c r="BE33" i="24" s="1"/>
  <c r="P33" i="24" s="1"/>
  <c r="BI42" i="24"/>
  <c r="BH32" i="24"/>
  <c r="BE32" i="24" s="1"/>
  <c r="P32" i="24" s="1"/>
  <c r="BI41" i="24"/>
  <c r="BH31" i="24"/>
  <c r="BE31" i="24" s="1"/>
  <c r="P31" i="24" s="1"/>
  <c r="BI40" i="24"/>
  <c r="BH30" i="24"/>
  <c r="BE30" i="24" s="1"/>
  <c r="P30" i="24" s="1"/>
  <c r="BI39" i="24"/>
  <c r="BH29" i="24"/>
  <c r="BE29" i="24" s="1"/>
  <c r="P29" i="24" s="1"/>
  <c r="BI38" i="24"/>
  <c r="BH28" i="24"/>
  <c r="BE28" i="24" s="1"/>
  <c r="P28" i="24" s="1"/>
  <c r="BI37" i="24"/>
  <c r="BH27" i="24"/>
  <c r="BE27" i="24" s="1"/>
  <c r="P27" i="24" s="1"/>
  <c r="BI36" i="24"/>
  <c r="BI35" i="24"/>
  <c r="BI34" i="24"/>
  <c r="BI33" i="24"/>
  <c r="BI32" i="24"/>
  <c r="BI31" i="24"/>
  <c r="BI30" i="24"/>
  <c r="BI29" i="24"/>
  <c r="BI28" i="24"/>
  <c r="BI27" i="24"/>
  <c r="BI26" i="24"/>
  <c r="BH26" i="24"/>
  <c r="BE26" i="24" s="1"/>
  <c r="P26" i="24" s="1"/>
  <c r="BI25" i="24"/>
  <c r="BH25" i="24"/>
  <c r="BE25" i="24" s="1"/>
  <c r="P25" i="24" s="1"/>
  <c r="BI24" i="24"/>
  <c r="BH24" i="24"/>
  <c r="BE24" i="24" s="1"/>
  <c r="P24" i="24" s="1"/>
  <c r="BI23" i="24"/>
  <c r="BH23" i="24"/>
  <c r="BE23" i="24" s="1"/>
  <c r="P23" i="24" s="1"/>
  <c r="BI22" i="24"/>
  <c r="BH22" i="24"/>
  <c r="BE22" i="24" s="1"/>
  <c r="P22" i="24" s="1"/>
  <c r="BI21" i="24"/>
  <c r="BH21" i="24"/>
  <c r="BE21" i="24" s="1"/>
  <c r="P21" i="24" s="1"/>
  <c r="BI20" i="24"/>
  <c r="BH20" i="24"/>
  <c r="BE20" i="24" s="1"/>
  <c r="P20" i="24" s="1"/>
  <c r="BI19" i="24"/>
  <c r="BH19" i="24"/>
  <c r="BE19" i="24" s="1"/>
  <c r="P19" i="24" s="1"/>
  <c r="BI18" i="24"/>
  <c r="BH18" i="24"/>
  <c r="BE18" i="24" s="1"/>
  <c r="P18" i="24" s="1"/>
  <c r="BI17" i="24"/>
  <c r="BH17" i="24"/>
  <c r="BE17" i="24" s="1"/>
  <c r="P17" i="24" s="1"/>
  <c r="BI16" i="24"/>
  <c r="BH16" i="24"/>
  <c r="BE16" i="24" s="1"/>
  <c r="P16" i="24" s="1"/>
  <c r="BI15" i="24"/>
  <c r="BH15" i="24"/>
  <c r="BE15" i="24" s="1"/>
  <c r="P15" i="24" s="1"/>
  <c r="BI14" i="24"/>
  <c r="BH14" i="24"/>
  <c r="BE14" i="24" s="1"/>
  <c r="P14" i="24" s="1"/>
  <c r="BI13" i="24"/>
  <c r="BH13" i="24"/>
  <c r="BE13" i="24" s="1"/>
  <c r="P13" i="24" s="1"/>
  <c r="BI12" i="24"/>
  <c r="BH12" i="24"/>
  <c r="BE12" i="24" s="1"/>
  <c r="P12" i="24" s="1"/>
  <c r="BB12" i="24"/>
  <c r="BA12" i="24"/>
  <c r="AZ12" i="24"/>
  <c r="AQ12" i="24" s="1"/>
  <c r="N12" i="24" s="1"/>
  <c r="AY12" i="24"/>
  <c r="AX12" i="24"/>
  <c r="AW12" i="24"/>
  <c r="AV12" i="24"/>
  <c r="AU12" i="24"/>
  <c r="AT12" i="24"/>
  <c r="E11" i="24"/>
  <c r="H11" i="24" s="1"/>
  <c r="K11" i="24" s="1"/>
  <c r="Q11" i="24" s="1"/>
  <c r="BI51" i="24"/>
  <c r="BH41" i="24"/>
  <c r="BE41" i="24" s="1"/>
  <c r="P41" i="24" s="1"/>
  <c r="BI52" i="24"/>
  <c r="BH42" i="24"/>
  <c r="BE42" i="24" s="1"/>
  <c r="P42" i="24" s="1"/>
  <c r="BI53" i="24"/>
  <c r="BH43" i="24"/>
  <c r="BE43" i="24" s="1"/>
  <c r="P43" i="24" s="1"/>
  <c r="B13" i="24"/>
  <c r="BG12" i="24"/>
  <c r="BD12" i="24" s="1"/>
  <c r="AS12" i="24"/>
  <c r="AP12" i="24" s="1"/>
  <c r="V12" i="24"/>
  <c r="G12" i="24"/>
  <c r="J12" i="24" s="1"/>
  <c r="A12" i="24"/>
  <c r="R11" i="27" l="1"/>
  <c r="S12" i="27"/>
  <c r="T12" i="27"/>
  <c r="E12" i="27" s="1"/>
  <c r="H12" i="27" s="1"/>
  <c r="K12" i="27" s="1"/>
  <c r="B14" i="27"/>
  <c r="BG13" i="27"/>
  <c r="BD13" i="27" s="1"/>
  <c r="AS13" i="27"/>
  <c r="AP13" i="27" s="1"/>
  <c r="V13" i="27"/>
  <c r="A13" i="27"/>
  <c r="R11" i="26"/>
  <c r="S12" i="26"/>
  <c r="T12" i="26"/>
  <c r="E12" i="26" s="1"/>
  <c r="H12" i="26" s="1"/>
  <c r="K12" i="26" s="1"/>
  <c r="B14" i="26"/>
  <c r="BG13" i="26"/>
  <c r="BD13" i="26" s="1"/>
  <c r="AS13" i="26"/>
  <c r="AP13" i="26" s="1"/>
  <c r="V13" i="26"/>
  <c r="A13" i="26"/>
  <c r="R11" i="25"/>
  <c r="S12" i="25"/>
  <c r="T12" i="25"/>
  <c r="E12" i="25" s="1"/>
  <c r="H12" i="25" s="1"/>
  <c r="K12" i="25" s="1"/>
  <c r="B14" i="25"/>
  <c r="BG13" i="25"/>
  <c r="BD13" i="25" s="1"/>
  <c r="AS13" i="25"/>
  <c r="AP13" i="25" s="1"/>
  <c r="V13" i="25"/>
  <c r="A13" i="25"/>
  <c r="R11" i="24"/>
  <c r="S12" i="24"/>
  <c r="T12" i="24"/>
  <c r="E12" i="24" s="1"/>
  <c r="H12" i="24" s="1"/>
  <c r="K12" i="24" s="1"/>
  <c r="B14" i="24"/>
  <c r="BG13" i="24"/>
  <c r="BD13" i="24" s="1"/>
  <c r="AS13" i="24"/>
  <c r="AP13" i="24" s="1"/>
  <c r="V13" i="24"/>
  <c r="A13" i="24"/>
  <c r="S13" i="27" l="1"/>
  <c r="T13" i="27"/>
  <c r="E13" i="27" s="1"/>
  <c r="H13" i="27" s="1"/>
  <c r="K13" i="27" s="1"/>
  <c r="B15" i="27"/>
  <c r="BG14" i="27"/>
  <c r="BD14" i="27" s="1"/>
  <c r="AS14" i="27"/>
  <c r="AP14" i="27" s="1"/>
  <c r="V14" i="27"/>
  <c r="A14" i="27"/>
  <c r="U12" i="27"/>
  <c r="W12" i="27" s="1"/>
  <c r="S13" i="26"/>
  <c r="T13" i="26"/>
  <c r="E13" i="26" s="1"/>
  <c r="H13" i="26" s="1"/>
  <c r="K13" i="26" s="1"/>
  <c r="B15" i="26"/>
  <c r="BG14" i="26"/>
  <c r="BD14" i="26" s="1"/>
  <c r="AS14" i="26"/>
  <c r="AP14" i="26" s="1"/>
  <c r="V14" i="26"/>
  <c r="A14" i="26"/>
  <c r="U12" i="26"/>
  <c r="W12" i="26" s="1"/>
  <c r="S13" i="25"/>
  <c r="T13" i="25"/>
  <c r="E13" i="25" s="1"/>
  <c r="H13" i="25" s="1"/>
  <c r="K13" i="25" s="1"/>
  <c r="B15" i="25"/>
  <c r="BG14" i="25"/>
  <c r="BD14" i="25" s="1"/>
  <c r="AS14" i="25"/>
  <c r="AP14" i="25" s="1"/>
  <c r="V14" i="25"/>
  <c r="A14" i="25"/>
  <c r="U12" i="25"/>
  <c r="W12" i="25" s="1"/>
  <c r="S13" i="24"/>
  <c r="T13" i="24"/>
  <c r="E13" i="24" s="1"/>
  <c r="H13" i="24" s="1"/>
  <c r="K13" i="24" s="1"/>
  <c r="B15" i="24"/>
  <c r="BG14" i="24"/>
  <c r="BD14" i="24" s="1"/>
  <c r="AS14" i="24"/>
  <c r="AP14" i="24" s="1"/>
  <c r="V14" i="24"/>
  <c r="A14" i="24"/>
  <c r="U12" i="24"/>
  <c r="W12" i="24" s="1"/>
  <c r="X12" i="27" l="1"/>
  <c r="S14" i="27"/>
  <c r="T14" i="27"/>
  <c r="E14" i="27" s="1"/>
  <c r="H14" i="27" s="1"/>
  <c r="K14" i="27" s="1"/>
  <c r="B16" i="27"/>
  <c r="BG15" i="27"/>
  <c r="BD15" i="27" s="1"/>
  <c r="AS15" i="27"/>
  <c r="AP15" i="27" s="1"/>
  <c r="V15" i="27"/>
  <c r="F15" i="27"/>
  <c r="L15" i="27" s="1"/>
  <c r="M15" i="27" s="1"/>
  <c r="A15" i="27"/>
  <c r="U13" i="27"/>
  <c r="W13" i="27" s="1"/>
  <c r="X12" i="26"/>
  <c r="S14" i="26"/>
  <c r="T14" i="26"/>
  <c r="E14" i="26" s="1"/>
  <c r="H14" i="26" s="1"/>
  <c r="K14" i="26" s="1"/>
  <c r="B16" i="26"/>
  <c r="BG15" i="26"/>
  <c r="BD15" i="26" s="1"/>
  <c r="AS15" i="26"/>
  <c r="AP15" i="26" s="1"/>
  <c r="V15" i="26"/>
  <c r="F15" i="26"/>
  <c r="L15" i="26" s="1"/>
  <c r="M15" i="26" s="1"/>
  <c r="A15" i="26"/>
  <c r="U13" i="26"/>
  <c r="W13" i="26" s="1"/>
  <c r="X12" i="25"/>
  <c r="S14" i="25"/>
  <c r="T14" i="25"/>
  <c r="E14" i="25" s="1"/>
  <c r="H14" i="25" s="1"/>
  <c r="K14" i="25" s="1"/>
  <c r="B16" i="25"/>
  <c r="BG15" i="25"/>
  <c r="BD15" i="25" s="1"/>
  <c r="AS15" i="25"/>
  <c r="AP15" i="25" s="1"/>
  <c r="V15" i="25"/>
  <c r="F15" i="25"/>
  <c r="L15" i="25" s="1"/>
  <c r="M15" i="25" s="1"/>
  <c r="A15" i="25"/>
  <c r="U13" i="25"/>
  <c r="W13" i="25" s="1"/>
  <c r="X12" i="24"/>
  <c r="S14" i="24"/>
  <c r="T14" i="24"/>
  <c r="E14" i="24" s="1"/>
  <c r="H14" i="24" s="1"/>
  <c r="K14" i="24" s="1"/>
  <c r="B16" i="24"/>
  <c r="BG15" i="24"/>
  <c r="BD15" i="24" s="1"/>
  <c r="AS15" i="24"/>
  <c r="AP15" i="24" s="1"/>
  <c r="V15" i="24"/>
  <c r="F15" i="24"/>
  <c r="L15" i="24" s="1"/>
  <c r="M15" i="24" s="1"/>
  <c r="A15" i="24"/>
  <c r="U13" i="24"/>
  <c r="W13" i="24" s="1"/>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12" i="23"/>
  <c r="S15" i="27" l="1"/>
  <c r="T15" i="27"/>
  <c r="E15" i="27" s="1"/>
  <c r="H15" i="27" s="1"/>
  <c r="K15" i="27" s="1"/>
  <c r="I15" i="27"/>
  <c r="B17" i="27"/>
  <c r="BG16" i="27"/>
  <c r="BD16" i="27" s="1"/>
  <c r="AS16" i="27"/>
  <c r="AP16" i="27" s="1"/>
  <c r="V16" i="27"/>
  <c r="F16" i="27"/>
  <c r="L16" i="27" s="1"/>
  <c r="M16" i="27" s="1"/>
  <c r="A16" i="27"/>
  <c r="U14" i="27"/>
  <c r="W14" i="27" s="1"/>
  <c r="X13" i="27"/>
  <c r="S15" i="26"/>
  <c r="T15" i="26"/>
  <c r="E15" i="26" s="1"/>
  <c r="H15" i="26" s="1"/>
  <c r="K15" i="26" s="1"/>
  <c r="I15" i="26"/>
  <c r="B17" i="26"/>
  <c r="BG16" i="26"/>
  <c r="BD16" i="26" s="1"/>
  <c r="AS16" i="26"/>
  <c r="AP16" i="26" s="1"/>
  <c r="V16" i="26"/>
  <c r="F16" i="26"/>
  <c r="L16" i="26" s="1"/>
  <c r="M16" i="26" s="1"/>
  <c r="A16" i="26"/>
  <c r="U14" i="26"/>
  <c r="W14" i="26" s="1"/>
  <c r="X13" i="26"/>
  <c r="S15" i="25"/>
  <c r="T15" i="25"/>
  <c r="E15" i="25" s="1"/>
  <c r="H15" i="25" s="1"/>
  <c r="K15" i="25" s="1"/>
  <c r="I15" i="25"/>
  <c r="B17" i="25"/>
  <c r="BG16" i="25"/>
  <c r="BD16" i="25" s="1"/>
  <c r="AS16" i="25"/>
  <c r="AP16" i="25" s="1"/>
  <c r="V16" i="25"/>
  <c r="F16" i="25"/>
  <c r="L16" i="25" s="1"/>
  <c r="M16" i="25" s="1"/>
  <c r="A16" i="25"/>
  <c r="U14" i="25"/>
  <c r="W14" i="25" s="1"/>
  <c r="X13" i="25"/>
  <c r="S15" i="24"/>
  <c r="T15" i="24"/>
  <c r="E15" i="24" s="1"/>
  <c r="H15" i="24" s="1"/>
  <c r="K15" i="24" s="1"/>
  <c r="I15" i="24"/>
  <c r="B17" i="24"/>
  <c r="BG16" i="24"/>
  <c r="BD16" i="24" s="1"/>
  <c r="AS16" i="24"/>
  <c r="AP16" i="24" s="1"/>
  <c r="V16" i="24"/>
  <c r="F16" i="24"/>
  <c r="L16" i="24" s="1"/>
  <c r="M16" i="24" s="1"/>
  <c r="A16" i="24"/>
  <c r="U14" i="24"/>
  <c r="W14" i="24" s="1"/>
  <c r="X13" i="24"/>
  <c r="A14" i="23"/>
  <c r="V11" i="23"/>
  <c r="X14" i="27" l="1"/>
  <c r="S16" i="27"/>
  <c r="T16" i="27"/>
  <c r="E16" i="27" s="1"/>
  <c r="H16" i="27" s="1"/>
  <c r="K16" i="27" s="1"/>
  <c r="I16" i="27"/>
  <c r="B18" i="27"/>
  <c r="BG17" i="27"/>
  <c r="BD17" i="27" s="1"/>
  <c r="AS17" i="27"/>
  <c r="AP17" i="27" s="1"/>
  <c r="V17" i="27"/>
  <c r="F17" i="27"/>
  <c r="L17" i="27" s="1"/>
  <c r="M17" i="27" s="1"/>
  <c r="A17" i="27"/>
  <c r="U15" i="27"/>
  <c r="W15" i="27" s="1"/>
  <c r="X14" i="26"/>
  <c r="S16" i="26"/>
  <c r="T16" i="26"/>
  <c r="E16" i="26" s="1"/>
  <c r="H16" i="26" s="1"/>
  <c r="K16" i="26" s="1"/>
  <c r="I16" i="26"/>
  <c r="B18" i="26"/>
  <c r="BG17" i="26"/>
  <c r="BD17" i="26" s="1"/>
  <c r="AS17" i="26"/>
  <c r="AP17" i="26" s="1"/>
  <c r="V17" i="26"/>
  <c r="F17" i="26"/>
  <c r="L17" i="26" s="1"/>
  <c r="M17" i="26" s="1"/>
  <c r="A17" i="26"/>
  <c r="U15" i="26"/>
  <c r="W15" i="26" s="1"/>
  <c r="X14" i="25"/>
  <c r="S16" i="25"/>
  <c r="T16" i="25"/>
  <c r="E16" i="25" s="1"/>
  <c r="H16" i="25" s="1"/>
  <c r="K16" i="25" s="1"/>
  <c r="I16" i="25"/>
  <c r="B18" i="25"/>
  <c r="BG17" i="25"/>
  <c r="BD17" i="25" s="1"/>
  <c r="AS17" i="25"/>
  <c r="AP17" i="25" s="1"/>
  <c r="V17" i="25"/>
  <c r="F17" i="25"/>
  <c r="L17" i="25" s="1"/>
  <c r="M17" i="25" s="1"/>
  <c r="A17" i="25"/>
  <c r="U15" i="25"/>
  <c r="W15" i="25" s="1"/>
  <c r="X14" i="24"/>
  <c r="S16" i="24"/>
  <c r="T16" i="24"/>
  <c r="E16" i="24" s="1"/>
  <c r="H16" i="24" s="1"/>
  <c r="K16" i="24" s="1"/>
  <c r="I16" i="24"/>
  <c r="B18" i="24"/>
  <c r="BG17" i="24"/>
  <c r="BD17" i="24" s="1"/>
  <c r="AS17" i="24"/>
  <c r="AP17" i="24" s="1"/>
  <c r="V17" i="24"/>
  <c r="F17" i="24"/>
  <c r="L17" i="24" s="1"/>
  <c r="M17" i="24" s="1"/>
  <c r="A17" i="24"/>
  <c r="U15" i="24"/>
  <c r="W15" i="24" s="1"/>
  <c r="A13"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12" i="23"/>
  <c r="S11" i="23"/>
  <c r="S17" i="27" l="1"/>
  <c r="T17" i="27"/>
  <c r="E17" i="27" s="1"/>
  <c r="H17" i="27" s="1"/>
  <c r="K17" i="27" s="1"/>
  <c r="I17" i="27"/>
  <c r="B19" i="27"/>
  <c r="BG18" i="27"/>
  <c r="BD18" i="27" s="1"/>
  <c r="AS18" i="27"/>
  <c r="AP18" i="27" s="1"/>
  <c r="V18" i="27"/>
  <c r="F18" i="27"/>
  <c r="L18" i="27" s="1"/>
  <c r="M18" i="27" s="1"/>
  <c r="A18" i="27"/>
  <c r="U16" i="27"/>
  <c r="W16" i="27" s="1"/>
  <c r="X15" i="27"/>
  <c r="S17" i="26"/>
  <c r="T17" i="26"/>
  <c r="E17" i="26" s="1"/>
  <c r="H17" i="26" s="1"/>
  <c r="K17" i="26" s="1"/>
  <c r="I17" i="26"/>
  <c r="B19" i="26"/>
  <c r="BG18" i="26"/>
  <c r="BD18" i="26" s="1"/>
  <c r="AS18" i="26"/>
  <c r="AP18" i="26" s="1"/>
  <c r="V18" i="26"/>
  <c r="F18" i="26"/>
  <c r="L18" i="26" s="1"/>
  <c r="M18" i="26" s="1"/>
  <c r="A18" i="26"/>
  <c r="U16" i="26"/>
  <c r="W16" i="26" s="1"/>
  <c r="X15" i="26"/>
  <c r="S17" i="25"/>
  <c r="T17" i="25"/>
  <c r="E17" i="25" s="1"/>
  <c r="H17" i="25" s="1"/>
  <c r="K17" i="25" s="1"/>
  <c r="I17" i="25"/>
  <c r="B19" i="25"/>
  <c r="BG18" i="25"/>
  <c r="BD18" i="25" s="1"/>
  <c r="AS18" i="25"/>
  <c r="AP18" i="25" s="1"/>
  <c r="V18" i="25"/>
  <c r="F18" i="25"/>
  <c r="L18" i="25" s="1"/>
  <c r="M18" i="25" s="1"/>
  <c r="A18" i="25"/>
  <c r="U16" i="25"/>
  <c r="W16" i="25" s="1"/>
  <c r="X15" i="25"/>
  <c r="S17" i="24"/>
  <c r="T17" i="24"/>
  <c r="E17" i="24" s="1"/>
  <c r="H17" i="24" s="1"/>
  <c r="K17" i="24" s="1"/>
  <c r="I17" i="24"/>
  <c r="B19" i="24"/>
  <c r="BG18" i="24"/>
  <c r="BD18" i="24" s="1"/>
  <c r="AS18" i="24"/>
  <c r="AP18" i="24" s="1"/>
  <c r="V18" i="24"/>
  <c r="F18" i="24"/>
  <c r="L18" i="24" s="1"/>
  <c r="M18" i="24" s="1"/>
  <c r="A18" i="24"/>
  <c r="U16" i="24"/>
  <c r="W16" i="24" s="1"/>
  <c r="X15" i="24"/>
  <c r="C11" i="23"/>
  <c r="X16" i="27" l="1"/>
  <c r="S18" i="27"/>
  <c r="T18" i="27"/>
  <c r="E18" i="27" s="1"/>
  <c r="H18" i="27" s="1"/>
  <c r="K18" i="27" s="1"/>
  <c r="I18" i="27"/>
  <c r="B20" i="27"/>
  <c r="BG19" i="27"/>
  <c r="BD19" i="27" s="1"/>
  <c r="AS19" i="27"/>
  <c r="AP19" i="27" s="1"/>
  <c r="V19" i="27"/>
  <c r="F19" i="27"/>
  <c r="L19" i="27" s="1"/>
  <c r="M19" i="27" s="1"/>
  <c r="A19" i="27"/>
  <c r="U17" i="27"/>
  <c r="W17" i="27" s="1"/>
  <c r="X16" i="26"/>
  <c r="S18" i="26"/>
  <c r="T18" i="26"/>
  <c r="E18" i="26" s="1"/>
  <c r="H18" i="26" s="1"/>
  <c r="K18" i="26" s="1"/>
  <c r="I18" i="26"/>
  <c r="B20" i="26"/>
  <c r="BG19" i="26"/>
  <c r="BD19" i="26" s="1"/>
  <c r="AS19" i="26"/>
  <c r="AP19" i="26" s="1"/>
  <c r="V19" i="26"/>
  <c r="F19" i="26"/>
  <c r="L19" i="26" s="1"/>
  <c r="M19" i="26" s="1"/>
  <c r="A19" i="26"/>
  <c r="U17" i="26"/>
  <c r="W17" i="26" s="1"/>
  <c r="X16" i="25"/>
  <c r="S18" i="25"/>
  <c r="T18" i="25"/>
  <c r="E18" i="25" s="1"/>
  <c r="H18" i="25" s="1"/>
  <c r="K18" i="25" s="1"/>
  <c r="I18" i="25"/>
  <c r="B20" i="25"/>
  <c r="BG19" i="25"/>
  <c r="BD19" i="25" s="1"/>
  <c r="AS19" i="25"/>
  <c r="AP19" i="25" s="1"/>
  <c r="V19" i="25"/>
  <c r="F19" i="25"/>
  <c r="L19" i="25" s="1"/>
  <c r="M19" i="25" s="1"/>
  <c r="A19" i="25"/>
  <c r="U17" i="25"/>
  <c r="W17" i="25" s="1"/>
  <c r="X16" i="24"/>
  <c r="S18" i="24"/>
  <c r="T18" i="24"/>
  <c r="E18" i="24" s="1"/>
  <c r="H18" i="24" s="1"/>
  <c r="K18" i="24" s="1"/>
  <c r="I18" i="24"/>
  <c r="B20" i="24"/>
  <c r="BG19" i="24"/>
  <c r="BD19" i="24" s="1"/>
  <c r="AS19" i="24"/>
  <c r="AP19" i="24" s="1"/>
  <c r="V19" i="24"/>
  <c r="F19" i="24"/>
  <c r="L19" i="24" s="1"/>
  <c r="M19" i="24" s="1"/>
  <c r="A19" i="24"/>
  <c r="U17" i="24"/>
  <c r="W17" i="24" s="1"/>
  <c r="I23" i="15"/>
  <c r="I24" i="15"/>
  <c r="I25" i="15"/>
  <c r="I26" i="15"/>
  <c r="I28" i="15"/>
  <c r="I29" i="15"/>
  <c r="I31" i="15"/>
  <c r="I32" i="15"/>
  <c r="I33" i="15"/>
  <c r="I34" i="15"/>
  <c r="I35" i="15"/>
  <c r="I37" i="15"/>
  <c r="I38" i="15"/>
  <c r="I36" i="15"/>
  <c r="I39" i="15"/>
  <c r="I40" i="15"/>
  <c r="I41" i="15"/>
  <c r="I43" i="15"/>
  <c r="I44" i="15"/>
  <c r="I45" i="15"/>
  <c r="I46" i="15"/>
  <c r="I47" i="15"/>
  <c r="I48" i="15"/>
  <c r="I49" i="15"/>
  <c r="I50" i="15"/>
  <c r="I51" i="15"/>
  <c r="I52" i="15"/>
  <c r="I53" i="15"/>
  <c r="I55" i="15"/>
  <c r="I56" i="15"/>
  <c r="I61" i="15"/>
  <c r="I62"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3" i="15"/>
  <c r="I94" i="15"/>
  <c r="I96" i="15"/>
  <c r="I97" i="15"/>
  <c r="I98" i="15"/>
  <c r="I99" i="15"/>
  <c r="I100" i="15"/>
  <c r="I101" i="15"/>
  <c r="I102" i="15"/>
  <c r="I104"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59" i="15"/>
  <c r="I60" i="15"/>
  <c r="I27" i="15"/>
  <c r="I42" i="15"/>
  <c r="I63" i="15"/>
  <c r="I54" i="15"/>
  <c r="I92" i="15"/>
  <c r="I95" i="15"/>
  <c r="I103" i="15"/>
  <c r="I105" i="15"/>
  <c r="I106" i="15"/>
  <c r="I107" i="15"/>
  <c r="I108" i="15"/>
  <c r="I30" i="15"/>
  <c r="I57" i="15"/>
  <c r="I58" i="15"/>
  <c r="I22" i="15"/>
  <c r="AT20" i="27" l="1"/>
  <c r="S19" i="27"/>
  <c r="T19" i="27"/>
  <c r="E19" i="27" s="1"/>
  <c r="H19" i="27" s="1"/>
  <c r="K19" i="27" s="1"/>
  <c r="I19" i="27"/>
  <c r="B21" i="27"/>
  <c r="BG20" i="27"/>
  <c r="BD20" i="27" s="1"/>
  <c r="AS20" i="27"/>
  <c r="AP20" i="27" s="1"/>
  <c r="V20" i="27"/>
  <c r="F20" i="27"/>
  <c r="L20" i="27" s="1"/>
  <c r="M20" i="27" s="1"/>
  <c r="A20" i="27"/>
  <c r="U18" i="27"/>
  <c r="W18" i="27" s="1"/>
  <c r="X17" i="27"/>
  <c r="AT20" i="26"/>
  <c r="S19" i="26"/>
  <c r="T19" i="26"/>
  <c r="E19" i="26" s="1"/>
  <c r="H19" i="26" s="1"/>
  <c r="K19" i="26" s="1"/>
  <c r="I19" i="26"/>
  <c r="B21" i="26"/>
  <c r="BG20" i="26"/>
  <c r="BD20" i="26" s="1"/>
  <c r="AS20" i="26"/>
  <c r="AP20" i="26" s="1"/>
  <c r="V20" i="26"/>
  <c r="F20" i="26"/>
  <c r="L20" i="26" s="1"/>
  <c r="M20" i="26" s="1"/>
  <c r="A20" i="26"/>
  <c r="U18" i="26"/>
  <c r="W18" i="26" s="1"/>
  <c r="X17" i="26"/>
  <c r="AT20" i="25"/>
  <c r="S19" i="25"/>
  <c r="T19" i="25"/>
  <c r="E19" i="25" s="1"/>
  <c r="H19" i="25" s="1"/>
  <c r="K19" i="25" s="1"/>
  <c r="I19" i="25"/>
  <c r="B21" i="25"/>
  <c r="BG20" i="25"/>
  <c r="BD20" i="25" s="1"/>
  <c r="AS20" i="25"/>
  <c r="AP20" i="25" s="1"/>
  <c r="V20" i="25"/>
  <c r="F20" i="25"/>
  <c r="L20" i="25" s="1"/>
  <c r="M20" i="25" s="1"/>
  <c r="A20" i="25"/>
  <c r="U18" i="25"/>
  <c r="W18" i="25" s="1"/>
  <c r="X17" i="25"/>
  <c r="AT20" i="24"/>
  <c r="S19" i="24"/>
  <c r="T19" i="24"/>
  <c r="E19" i="24" s="1"/>
  <c r="H19" i="24" s="1"/>
  <c r="K19" i="24" s="1"/>
  <c r="I19" i="24"/>
  <c r="B21" i="24"/>
  <c r="BG20" i="24"/>
  <c r="BD20" i="24" s="1"/>
  <c r="AS20" i="24"/>
  <c r="AP20" i="24" s="1"/>
  <c r="V20" i="24"/>
  <c r="F20" i="24"/>
  <c r="L20" i="24" s="1"/>
  <c r="M20" i="24" s="1"/>
  <c r="A20" i="24"/>
  <c r="U18" i="24"/>
  <c r="W18" i="24" s="1"/>
  <c r="X17" i="24"/>
  <c r="H55" i="14"/>
  <c r="X54" i="14"/>
  <c r="X50" i="14"/>
  <c r="X49" i="14"/>
  <c r="X48" i="14"/>
  <c r="X44" i="14"/>
  <c r="X43" i="14"/>
  <c r="X42" i="14"/>
  <c r="X38" i="14"/>
  <c r="X37" i="14"/>
  <c r="X36" i="14"/>
  <c r="X32" i="14"/>
  <c r="X31" i="14"/>
  <c r="X29" i="14"/>
  <c r="X25" i="14"/>
  <c r="X24" i="14"/>
  <c r="AT21" i="27" l="1"/>
  <c r="X18" i="27"/>
  <c r="S20" i="27"/>
  <c r="T20" i="27"/>
  <c r="E20" i="27" s="1"/>
  <c r="H20" i="27" s="1"/>
  <c r="K20" i="27" s="1"/>
  <c r="I20" i="27"/>
  <c r="B22" i="27"/>
  <c r="BG21" i="27"/>
  <c r="BD21" i="27" s="1"/>
  <c r="AS21" i="27"/>
  <c r="AP21" i="27" s="1"/>
  <c r="V21" i="27"/>
  <c r="F21" i="27"/>
  <c r="L21" i="27" s="1"/>
  <c r="M21" i="27" s="1"/>
  <c r="A21" i="27"/>
  <c r="U19" i="27"/>
  <c r="W19" i="27" s="1"/>
  <c r="AT21" i="26"/>
  <c r="X18" i="26"/>
  <c r="S20" i="26"/>
  <c r="T20" i="26"/>
  <c r="E20" i="26" s="1"/>
  <c r="H20" i="26" s="1"/>
  <c r="K20" i="26" s="1"/>
  <c r="I20" i="26"/>
  <c r="B22" i="26"/>
  <c r="BG21" i="26"/>
  <c r="BD21" i="26" s="1"/>
  <c r="AS21" i="26"/>
  <c r="AP21" i="26" s="1"/>
  <c r="V21" i="26"/>
  <c r="F21" i="26"/>
  <c r="L21" i="26" s="1"/>
  <c r="M21" i="26" s="1"/>
  <c r="A21" i="26"/>
  <c r="U19" i="26"/>
  <c r="W19" i="26" s="1"/>
  <c r="AT21" i="25"/>
  <c r="X18" i="25"/>
  <c r="S20" i="25"/>
  <c r="T20" i="25"/>
  <c r="E20" i="25" s="1"/>
  <c r="H20" i="25" s="1"/>
  <c r="K20" i="25" s="1"/>
  <c r="I20" i="25"/>
  <c r="B22" i="25"/>
  <c r="BG21" i="25"/>
  <c r="BD21" i="25" s="1"/>
  <c r="AS21" i="25"/>
  <c r="AP21" i="25" s="1"/>
  <c r="V21" i="25"/>
  <c r="F21" i="25"/>
  <c r="L21" i="25" s="1"/>
  <c r="M21" i="25" s="1"/>
  <c r="A21" i="25"/>
  <c r="U19" i="25"/>
  <c r="W19" i="25" s="1"/>
  <c r="AT21" i="24"/>
  <c r="X18" i="24"/>
  <c r="S20" i="24"/>
  <c r="T20" i="24"/>
  <c r="E20" i="24" s="1"/>
  <c r="H20" i="24" s="1"/>
  <c r="K20" i="24" s="1"/>
  <c r="I20" i="24"/>
  <c r="B22" i="24"/>
  <c r="BG21" i="24"/>
  <c r="BD21" i="24" s="1"/>
  <c r="AS21" i="24"/>
  <c r="AP21" i="24" s="1"/>
  <c r="V21" i="24"/>
  <c r="F21" i="24"/>
  <c r="L21" i="24" s="1"/>
  <c r="M21" i="24" s="1"/>
  <c r="A21" i="24"/>
  <c r="U19" i="24"/>
  <c r="W19" i="24" s="1"/>
  <c r="AT22" i="27" l="1"/>
  <c r="S21" i="27"/>
  <c r="T21" i="27"/>
  <c r="E21" i="27" s="1"/>
  <c r="H21" i="27" s="1"/>
  <c r="K21" i="27" s="1"/>
  <c r="I21" i="27"/>
  <c r="B23" i="27"/>
  <c r="BG22" i="27"/>
  <c r="BD22" i="27" s="1"/>
  <c r="AS22" i="27"/>
  <c r="AP22" i="27" s="1"/>
  <c r="V22" i="27"/>
  <c r="F22" i="27"/>
  <c r="L22" i="27" s="1"/>
  <c r="M22" i="27" s="1"/>
  <c r="A22" i="27"/>
  <c r="U20" i="27"/>
  <c r="W20" i="27" s="1"/>
  <c r="X19" i="27"/>
  <c r="AT22" i="26"/>
  <c r="S21" i="26"/>
  <c r="T21" i="26"/>
  <c r="E21" i="26" s="1"/>
  <c r="H21" i="26" s="1"/>
  <c r="K21" i="26" s="1"/>
  <c r="I21" i="26"/>
  <c r="B23" i="26"/>
  <c r="BG22" i="26"/>
  <c r="BD22" i="26" s="1"/>
  <c r="AS22" i="26"/>
  <c r="AP22" i="26" s="1"/>
  <c r="V22" i="26"/>
  <c r="F22" i="26"/>
  <c r="L22" i="26" s="1"/>
  <c r="M22" i="26" s="1"/>
  <c r="A22" i="26"/>
  <c r="U20" i="26"/>
  <c r="W20" i="26" s="1"/>
  <c r="X19" i="26"/>
  <c r="AT22" i="25"/>
  <c r="S21" i="25"/>
  <c r="T21" i="25"/>
  <c r="E21" i="25" s="1"/>
  <c r="H21" i="25" s="1"/>
  <c r="K21" i="25" s="1"/>
  <c r="I21" i="25"/>
  <c r="B23" i="25"/>
  <c r="BG22" i="25"/>
  <c r="BD22" i="25" s="1"/>
  <c r="AS22" i="25"/>
  <c r="AP22" i="25" s="1"/>
  <c r="V22" i="25"/>
  <c r="F22" i="25"/>
  <c r="L22" i="25" s="1"/>
  <c r="M22" i="25" s="1"/>
  <c r="A22" i="25"/>
  <c r="U20" i="25"/>
  <c r="W20" i="25" s="1"/>
  <c r="X19" i="25"/>
  <c r="AT22" i="24"/>
  <c r="S21" i="24"/>
  <c r="T21" i="24"/>
  <c r="E21" i="24" s="1"/>
  <c r="H21" i="24" s="1"/>
  <c r="K21" i="24" s="1"/>
  <c r="I21" i="24"/>
  <c r="B23" i="24"/>
  <c r="BG22" i="24"/>
  <c r="BD22" i="24" s="1"/>
  <c r="AS22" i="24"/>
  <c r="AP22" i="24" s="1"/>
  <c r="V22" i="24"/>
  <c r="F22" i="24"/>
  <c r="L22" i="24" s="1"/>
  <c r="M22" i="24" s="1"/>
  <c r="A22" i="24"/>
  <c r="U20" i="24"/>
  <c r="W20" i="24" s="1"/>
  <c r="X19" i="24"/>
  <c r="K15" i="15"/>
  <c r="K16" i="15"/>
  <c r="K17" i="15"/>
  <c r="K18" i="15"/>
  <c r="K14" i="15"/>
  <c r="I15" i="15"/>
  <c r="I16" i="15"/>
  <c r="I17" i="15"/>
  <c r="I18" i="15"/>
  <c r="I14" i="15"/>
  <c r="AT23" i="27" l="1"/>
  <c r="X20" i="27"/>
  <c r="S22" i="27"/>
  <c r="T22" i="27"/>
  <c r="E22" i="27" s="1"/>
  <c r="H22" i="27" s="1"/>
  <c r="K22" i="27" s="1"/>
  <c r="I22" i="27"/>
  <c r="B24" i="27"/>
  <c r="BG23" i="27"/>
  <c r="BD23" i="27" s="1"/>
  <c r="AS23" i="27"/>
  <c r="AP23" i="27" s="1"/>
  <c r="V23" i="27"/>
  <c r="F23" i="27"/>
  <c r="L23" i="27" s="1"/>
  <c r="M23" i="27" s="1"/>
  <c r="A23" i="27"/>
  <c r="U21" i="27"/>
  <c r="W21" i="27" s="1"/>
  <c r="AT23" i="26"/>
  <c r="X20" i="26"/>
  <c r="S22" i="26"/>
  <c r="T22" i="26"/>
  <c r="E22" i="26" s="1"/>
  <c r="H22" i="26" s="1"/>
  <c r="K22" i="26" s="1"/>
  <c r="I22" i="26"/>
  <c r="B24" i="26"/>
  <c r="BG23" i="26"/>
  <c r="BD23" i="26" s="1"/>
  <c r="AS23" i="26"/>
  <c r="AP23" i="26" s="1"/>
  <c r="V23" i="26"/>
  <c r="F23" i="26"/>
  <c r="L23" i="26" s="1"/>
  <c r="M23" i="26" s="1"/>
  <c r="A23" i="26"/>
  <c r="U21" i="26"/>
  <c r="W21" i="26" s="1"/>
  <c r="AT23" i="25"/>
  <c r="X20" i="25"/>
  <c r="S22" i="25"/>
  <c r="T22" i="25"/>
  <c r="E22" i="25" s="1"/>
  <c r="H22" i="25" s="1"/>
  <c r="K22" i="25" s="1"/>
  <c r="I22" i="25"/>
  <c r="B24" i="25"/>
  <c r="BG23" i="25"/>
  <c r="BD23" i="25" s="1"/>
  <c r="AS23" i="25"/>
  <c r="AP23" i="25" s="1"/>
  <c r="V23" i="25"/>
  <c r="F23" i="25"/>
  <c r="L23" i="25" s="1"/>
  <c r="M23" i="25" s="1"/>
  <c r="A23" i="25"/>
  <c r="U21" i="25"/>
  <c r="W21" i="25" s="1"/>
  <c r="AT23" i="24"/>
  <c r="X20" i="24"/>
  <c r="S22" i="24"/>
  <c r="T22" i="24"/>
  <c r="E22" i="24" s="1"/>
  <c r="H22" i="24" s="1"/>
  <c r="K22" i="24" s="1"/>
  <c r="I22" i="24"/>
  <c r="B24" i="24"/>
  <c r="BG23" i="24"/>
  <c r="BD23" i="24" s="1"/>
  <c r="AS23" i="24"/>
  <c r="AP23" i="24" s="1"/>
  <c r="V23" i="24"/>
  <c r="F23" i="24"/>
  <c r="L23" i="24" s="1"/>
  <c r="M23" i="24" s="1"/>
  <c r="A23" i="24"/>
  <c r="U21" i="24"/>
  <c r="W21" i="24" s="1"/>
  <c r="E13" i="15"/>
  <c r="AT24" i="27" l="1"/>
  <c r="S23" i="27"/>
  <c r="T23" i="27"/>
  <c r="E23" i="27" s="1"/>
  <c r="H23" i="27" s="1"/>
  <c r="K23" i="27" s="1"/>
  <c r="I23" i="27"/>
  <c r="B25" i="27"/>
  <c r="BG24" i="27"/>
  <c r="BD24" i="27" s="1"/>
  <c r="AS24" i="27"/>
  <c r="AP24" i="27" s="1"/>
  <c r="V24" i="27"/>
  <c r="F24" i="27"/>
  <c r="L24" i="27" s="1"/>
  <c r="M24" i="27" s="1"/>
  <c r="A24" i="27"/>
  <c r="U22" i="27"/>
  <c r="W22" i="27" s="1"/>
  <c r="X21" i="27"/>
  <c r="AT24" i="26"/>
  <c r="S23" i="26"/>
  <c r="T23" i="26"/>
  <c r="E23" i="26" s="1"/>
  <c r="H23" i="26" s="1"/>
  <c r="K23" i="26" s="1"/>
  <c r="I23" i="26"/>
  <c r="B25" i="26"/>
  <c r="BG24" i="26"/>
  <c r="BD24" i="26" s="1"/>
  <c r="AS24" i="26"/>
  <c r="AP24" i="26" s="1"/>
  <c r="V24" i="26"/>
  <c r="F24" i="26"/>
  <c r="L24" i="26" s="1"/>
  <c r="M24" i="26" s="1"/>
  <c r="A24" i="26"/>
  <c r="U22" i="26"/>
  <c r="W22" i="26" s="1"/>
  <c r="X21" i="26"/>
  <c r="AT24" i="25"/>
  <c r="S23" i="25"/>
  <c r="T23" i="25"/>
  <c r="E23" i="25" s="1"/>
  <c r="H23" i="25" s="1"/>
  <c r="K23" i="25" s="1"/>
  <c r="I23" i="25"/>
  <c r="B25" i="25"/>
  <c r="BG24" i="25"/>
  <c r="BD24" i="25" s="1"/>
  <c r="AS24" i="25"/>
  <c r="AP24" i="25" s="1"/>
  <c r="V24" i="25"/>
  <c r="F24" i="25"/>
  <c r="L24" i="25" s="1"/>
  <c r="M24" i="25" s="1"/>
  <c r="A24" i="25"/>
  <c r="U22" i="25"/>
  <c r="W22" i="25" s="1"/>
  <c r="X21" i="25"/>
  <c r="AT24" i="24"/>
  <c r="S23" i="24"/>
  <c r="T23" i="24"/>
  <c r="E23" i="24" s="1"/>
  <c r="H23" i="24" s="1"/>
  <c r="K23" i="24" s="1"/>
  <c r="I23" i="24"/>
  <c r="B25" i="24"/>
  <c r="BG24" i="24"/>
  <c r="BD24" i="24" s="1"/>
  <c r="AS24" i="24"/>
  <c r="AP24" i="24" s="1"/>
  <c r="V24" i="24"/>
  <c r="F24" i="24"/>
  <c r="L24" i="24" s="1"/>
  <c r="M24" i="24" s="1"/>
  <c r="A24" i="24"/>
  <c r="U22" i="24"/>
  <c r="W22" i="24" s="1"/>
  <c r="X21" i="24"/>
  <c r="G34" i="17"/>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AU25" i="27" l="1"/>
  <c r="AT25" i="27"/>
  <c r="X22" i="27"/>
  <c r="S24" i="27"/>
  <c r="T24" i="27"/>
  <c r="E24" i="27" s="1"/>
  <c r="H24" i="27" s="1"/>
  <c r="K24" i="27" s="1"/>
  <c r="I24" i="27"/>
  <c r="B26" i="27"/>
  <c r="BG25" i="27"/>
  <c r="BD25" i="27" s="1"/>
  <c r="AS25" i="27"/>
  <c r="AP25" i="27" s="1"/>
  <c r="V25" i="27"/>
  <c r="F25" i="27"/>
  <c r="L25" i="27" s="1"/>
  <c r="M25" i="27" s="1"/>
  <c r="A25" i="27"/>
  <c r="U23" i="27"/>
  <c r="W23" i="27" s="1"/>
  <c r="AU25" i="26"/>
  <c r="AT25" i="26"/>
  <c r="X22" i="26"/>
  <c r="S24" i="26"/>
  <c r="T24" i="26"/>
  <c r="E24" i="26" s="1"/>
  <c r="H24" i="26" s="1"/>
  <c r="K24" i="26" s="1"/>
  <c r="I24" i="26"/>
  <c r="B26" i="26"/>
  <c r="BG25" i="26"/>
  <c r="BD25" i="26" s="1"/>
  <c r="AS25" i="26"/>
  <c r="AP25" i="26" s="1"/>
  <c r="V25" i="26"/>
  <c r="F25" i="26"/>
  <c r="L25" i="26" s="1"/>
  <c r="M25" i="26" s="1"/>
  <c r="A25" i="26"/>
  <c r="U23" i="26"/>
  <c r="W23" i="26" s="1"/>
  <c r="AU25" i="25"/>
  <c r="AT25" i="25"/>
  <c r="X22" i="25"/>
  <c r="S24" i="25"/>
  <c r="T24" i="25"/>
  <c r="E24" i="25" s="1"/>
  <c r="H24" i="25" s="1"/>
  <c r="K24" i="25" s="1"/>
  <c r="I24" i="25"/>
  <c r="B26" i="25"/>
  <c r="BG25" i="25"/>
  <c r="BD25" i="25" s="1"/>
  <c r="AS25" i="25"/>
  <c r="AP25" i="25" s="1"/>
  <c r="V25" i="25"/>
  <c r="F25" i="25"/>
  <c r="L25" i="25" s="1"/>
  <c r="M25" i="25" s="1"/>
  <c r="A25" i="25"/>
  <c r="U23" i="25"/>
  <c r="W23" i="25" s="1"/>
  <c r="AU25" i="24"/>
  <c r="AT25" i="24"/>
  <c r="X22" i="24"/>
  <c r="S24" i="24"/>
  <c r="T24" i="24"/>
  <c r="E24" i="24" s="1"/>
  <c r="H24" i="24" s="1"/>
  <c r="K24" i="24" s="1"/>
  <c r="I24" i="24"/>
  <c r="B26" i="24"/>
  <c r="BG25" i="24"/>
  <c r="BD25" i="24" s="1"/>
  <c r="AS25" i="24"/>
  <c r="AP25" i="24" s="1"/>
  <c r="V25" i="24"/>
  <c r="F25" i="24"/>
  <c r="L25" i="24" s="1"/>
  <c r="M25" i="24" s="1"/>
  <c r="A25" i="24"/>
  <c r="U23" i="24"/>
  <c r="W23" i="24" s="1"/>
  <c r="AN30" i="23"/>
  <c r="AM30" i="23"/>
  <c r="AL30" i="23"/>
  <c r="AN29" i="23"/>
  <c r="AM29" i="23"/>
  <c r="AL29" i="23"/>
  <c r="AN28" i="23"/>
  <c r="AM28" i="23"/>
  <c r="AL28" i="23"/>
  <c r="AN27" i="23"/>
  <c r="AM27" i="23"/>
  <c r="AL27" i="23"/>
  <c r="AN26" i="23"/>
  <c r="AM26" i="23"/>
  <c r="AL26" i="23"/>
  <c r="C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N12" i="23"/>
  <c r="AM12" i="23"/>
  <c r="AL12" i="23"/>
  <c r="AK12" i="23"/>
  <c r="AK13" i="23" s="1"/>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H12" i="23"/>
  <c r="AH13" i="23" s="1"/>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BI11" i="23"/>
  <c r="AN11" i="23"/>
  <c r="AM11" i="23"/>
  <c r="AL11" i="23"/>
  <c r="R5" i="23"/>
  <c r="Q5" i="23"/>
  <c r="P5" i="23"/>
  <c r="O5" i="23"/>
  <c r="AI10" i="23" s="1"/>
  <c r="N5" i="23"/>
  <c r="M5" i="23"/>
  <c r="L5" i="23"/>
  <c r="K5" i="23"/>
  <c r="J5" i="23"/>
  <c r="I5" i="23"/>
  <c r="H5" i="23"/>
  <c r="G5" i="23"/>
  <c r="F5" i="23"/>
  <c r="E5" i="23"/>
  <c r="D5" i="23"/>
  <c r="C5" i="23"/>
  <c r="B11" i="23" s="1"/>
  <c r="B5" i="23"/>
  <c r="C9" i="23" s="1"/>
  <c r="AU26" i="27" l="1"/>
  <c r="AT26" i="27"/>
  <c r="S25" i="27"/>
  <c r="T25" i="27"/>
  <c r="E25" i="27" s="1"/>
  <c r="H25" i="27" s="1"/>
  <c r="K25" i="27" s="1"/>
  <c r="I25" i="27"/>
  <c r="B27" i="27"/>
  <c r="BG26" i="27"/>
  <c r="BD26" i="27" s="1"/>
  <c r="AS26" i="27"/>
  <c r="AP26" i="27" s="1"/>
  <c r="V26" i="27"/>
  <c r="F26" i="27"/>
  <c r="L26" i="27" s="1"/>
  <c r="M26" i="27" s="1"/>
  <c r="A26" i="27"/>
  <c r="U24" i="27"/>
  <c r="W24" i="27" s="1"/>
  <c r="X23" i="27"/>
  <c r="AU26" i="26"/>
  <c r="AT26" i="26"/>
  <c r="S25" i="26"/>
  <c r="T25" i="26"/>
  <c r="E25" i="26" s="1"/>
  <c r="H25" i="26" s="1"/>
  <c r="K25" i="26" s="1"/>
  <c r="I25" i="26"/>
  <c r="B27" i="26"/>
  <c r="BG26" i="26"/>
  <c r="BD26" i="26" s="1"/>
  <c r="AS26" i="26"/>
  <c r="AP26" i="26" s="1"/>
  <c r="V26" i="26"/>
  <c r="F26" i="26"/>
  <c r="L26" i="26" s="1"/>
  <c r="M26" i="26" s="1"/>
  <c r="A26" i="26"/>
  <c r="U24" i="26"/>
  <c r="W24" i="26" s="1"/>
  <c r="X23" i="26"/>
  <c r="AU26" i="25"/>
  <c r="AT26" i="25"/>
  <c r="S25" i="25"/>
  <c r="T25" i="25"/>
  <c r="E25" i="25" s="1"/>
  <c r="H25" i="25" s="1"/>
  <c r="K25" i="25" s="1"/>
  <c r="I25" i="25"/>
  <c r="B27" i="25"/>
  <c r="BG26" i="25"/>
  <c r="BD26" i="25" s="1"/>
  <c r="AS26" i="25"/>
  <c r="AP26" i="25" s="1"/>
  <c r="V26" i="25"/>
  <c r="F26" i="25"/>
  <c r="L26" i="25" s="1"/>
  <c r="M26" i="25" s="1"/>
  <c r="A26" i="25"/>
  <c r="U24" i="25"/>
  <c r="W24" i="25" s="1"/>
  <c r="X23" i="25"/>
  <c r="AU26" i="24"/>
  <c r="AT26" i="24"/>
  <c r="S25" i="24"/>
  <c r="T25" i="24"/>
  <c r="E25" i="24" s="1"/>
  <c r="H25" i="24" s="1"/>
  <c r="K25" i="24" s="1"/>
  <c r="I25" i="24"/>
  <c r="B27" i="24"/>
  <c r="BG26" i="24"/>
  <c r="BD26" i="24" s="1"/>
  <c r="AS26" i="24"/>
  <c r="AP26" i="24" s="1"/>
  <c r="V26" i="24"/>
  <c r="F26" i="24"/>
  <c r="L26" i="24" s="1"/>
  <c r="M26" i="24" s="1"/>
  <c r="A26" i="24"/>
  <c r="U24" i="24"/>
  <c r="W24" i="24" s="1"/>
  <c r="X23" i="24"/>
  <c r="B12" i="23"/>
  <c r="BG11" i="23"/>
  <c r="BD11" i="23" s="1"/>
  <c r="AS11" i="23"/>
  <c r="AP11" i="23" s="1"/>
  <c r="L11" i="23"/>
  <c r="G11" i="23"/>
  <c r="J11" i="23" s="1"/>
  <c r="F11" i="23"/>
  <c r="I11" i="23" s="1"/>
  <c r="O53" i="23"/>
  <c r="O52" i="23"/>
  <c r="O51" i="23"/>
  <c r="O50" i="23"/>
  <c r="O49" i="23"/>
  <c r="O48" i="23"/>
  <c r="O47" i="23"/>
  <c r="O46" i="23"/>
  <c r="O45" i="23"/>
  <c r="O44" i="23"/>
  <c r="O43" i="23"/>
  <c r="O42" i="23"/>
  <c r="O41" i="23"/>
  <c r="O40" i="23"/>
  <c r="O39" i="23"/>
  <c r="O38" i="23"/>
  <c r="BH53" i="23" s="1"/>
  <c r="O37" i="23"/>
  <c r="BH52" i="23" s="1"/>
  <c r="O36" i="23"/>
  <c r="BH51" i="23" s="1"/>
  <c r="O35" i="23"/>
  <c r="BH50" i="23" s="1"/>
  <c r="O34" i="23"/>
  <c r="BH49" i="23" s="1"/>
  <c r="O33" i="23"/>
  <c r="BH48" i="23" s="1"/>
  <c r="O32" i="23"/>
  <c r="BH47" i="23" s="1"/>
  <c r="O31" i="23"/>
  <c r="BH46" i="23" s="1"/>
  <c r="O30" i="23"/>
  <c r="BH45" i="23" s="1"/>
  <c r="O29" i="23"/>
  <c r="BH44" i="23" s="1"/>
  <c r="O28" i="23"/>
  <c r="O27" i="23"/>
  <c r="O26" i="23"/>
  <c r="BE53" i="23"/>
  <c r="P53" i="23" s="1"/>
  <c r="BE52" i="23"/>
  <c r="P52" i="23" s="1"/>
  <c r="BE51" i="23"/>
  <c r="P51" i="23" s="1"/>
  <c r="BE50" i="23"/>
  <c r="P50" i="23" s="1"/>
  <c r="BE49" i="23"/>
  <c r="P49" i="23" s="1"/>
  <c r="BE48" i="23"/>
  <c r="P48" i="23" s="1"/>
  <c r="BE47" i="23"/>
  <c r="P47" i="23" s="1"/>
  <c r="BE46" i="23"/>
  <c r="P46" i="23" s="1"/>
  <c r="BE45" i="23"/>
  <c r="P45" i="23" s="1"/>
  <c r="BE44" i="23"/>
  <c r="P44" i="23" s="1"/>
  <c r="AQ10" i="23"/>
  <c r="BE10" i="23"/>
  <c r="M11" i="23"/>
  <c r="O11" i="23"/>
  <c r="T11" i="23"/>
  <c r="AQ11" i="23"/>
  <c r="N11" i="23" s="1"/>
  <c r="BE11" i="23"/>
  <c r="P11" i="23" s="1"/>
  <c r="O12" i="23"/>
  <c r="O13" i="23"/>
  <c r="O14" i="23"/>
  <c r="O15" i="23"/>
  <c r="O16" i="23"/>
  <c r="O17" i="23"/>
  <c r="O18" i="23"/>
  <c r="O19" i="23"/>
  <c r="O20" i="23"/>
  <c r="O21" i="23"/>
  <c r="O22" i="23"/>
  <c r="O23" i="23"/>
  <c r="O24" i="23"/>
  <c r="O25" i="23"/>
  <c r="C18" i="3"/>
  <c r="C2" i="3"/>
  <c r="D2" i="3"/>
  <c r="E2" i="3"/>
  <c r="F2" i="3"/>
  <c r="G2" i="3"/>
  <c r="J14" i="15"/>
  <c r="J15" i="15"/>
  <c r="J16" i="15"/>
  <c r="J17" i="15"/>
  <c r="J18" i="15"/>
  <c r="J13" i="15"/>
  <c r="J12" i="15"/>
  <c r="H15" i="15"/>
  <c r="H14" i="15"/>
  <c r="H13" i="15"/>
  <c r="AU27" i="27" l="1"/>
  <c r="AT27" i="27"/>
  <c r="X24" i="27"/>
  <c r="S26" i="27"/>
  <c r="T26" i="27"/>
  <c r="E26" i="27" s="1"/>
  <c r="H26" i="27" s="1"/>
  <c r="K26" i="27" s="1"/>
  <c r="I26" i="27"/>
  <c r="B28" i="27"/>
  <c r="BG27" i="27"/>
  <c r="BD27" i="27" s="1"/>
  <c r="AS27" i="27"/>
  <c r="AP27" i="27" s="1"/>
  <c r="V27" i="27"/>
  <c r="F27" i="27"/>
  <c r="L27" i="27" s="1"/>
  <c r="M27" i="27" s="1"/>
  <c r="A27" i="27"/>
  <c r="U25" i="27"/>
  <c r="W25" i="27" s="1"/>
  <c r="AU27" i="26"/>
  <c r="AT27" i="26"/>
  <c r="X24" i="26"/>
  <c r="S26" i="26"/>
  <c r="T26" i="26"/>
  <c r="E26" i="26" s="1"/>
  <c r="H26" i="26" s="1"/>
  <c r="K26" i="26" s="1"/>
  <c r="I26" i="26"/>
  <c r="B28" i="26"/>
  <c r="BG27" i="26"/>
  <c r="BD27" i="26" s="1"/>
  <c r="AS27" i="26"/>
  <c r="AP27" i="26" s="1"/>
  <c r="V27" i="26"/>
  <c r="F27" i="26"/>
  <c r="L27" i="26" s="1"/>
  <c r="M27" i="26" s="1"/>
  <c r="A27" i="26"/>
  <c r="U25" i="26"/>
  <c r="W25" i="26" s="1"/>
  <c r="AU27" i="25"/>
  <c r="AT27" i="25"/>
  <c r="X24" i="25"/>
  <c r="S26" i="25"/>
  <c r="T26" i="25"/>
  <c r="E26" i="25" s="1"/>
  <c r="H26" i="25" s="1"/>
  <c r="K26" i="25" s="1"/>
  <c r="I26" i="25"/>
  <c r="B28" i="25"/>
  <c r="BG27" i="25"/>
  <c r="BD27" i="25" s="1"/>
  <c r="AS27" i="25"/>
  <c r="AP27" i="25" s="1"/>
  <c r="V27" i="25"/>
  <c r="F27" i="25"/>
  <c r="L27" i="25" s="1"/>
  <c r="M27" i="25" s="1"/>
  <c r="A27" i="25"/>
  <c r="U25" i="25"/>
  <c r="W25" i="25" s="1"/>
  <c r="AU27" i="24"/>
  <c r="AT27" i="24"/>
  <c r="X24" i="24"/>
  <c r="S26" i="24"/>
  <c r="T26" i="24"/>
  <c r="E26" i="24" s="1"/>
  <c r="H26" i="24" s="1"/>
  <c r="K26" i="24" s="1"/>
  <c r="I26" i="24"/>
  <c r="B28" i="24"/>
  <c r="BG27" i="24"/>
  <c r="BD27" i="24" s="1"/>
  <c r="AS27" i="24"/>
  <c r="AP27" i="24" s="1"/>
  <c r="V27" i="24"/>
  <c r="F27" i="24"/>
  <c r="L27" i="24" s="1"/>
  <c r="M27" i="24" s="1"/>
  <c r="A27" i="24"/>
  <c r="U25" i="24"/>
  <c r="W25" i="24"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H27" i="23"/>
  <c r="BE27" i="23" s="1"/>
  <c r="P27" i="23" s="1"/>
  <c r="BI36" i="23"/>
  <c r="BI35" i="23"/>
  <c r="BI34" i="23"/>
  <c r="BI33" i="23"/>
  <c r="BI32" i="23"/>
  <c r="BI31" i="23"/>
  <c r="BI30" i="23"/>
  <c r="BI29" i="23"/>
  <c r="BI28" i="23"/>
  <c r="BI27" i="23"/>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I12" i="23"/>
  <c r="BH12" i="23"/>
  <c r="BE12" i="23" s="1"/>
  <c r="P12" i="23" s="1"/>
  <c r="BB12" i="23"/>
  <c r="BA12" i="23"/>
  <c r="AZ12" i="23"/>
  <c r="AQ12" i="23" s="1"/>
  <c r="N12" i="23" s="1"/>
  <c r="AY12" i="23"/>
  <c r="AX12" i="23"/>
  <c r="AW12" i="23"/>
  <c r="AV12" i="23"/>
  <c r="AU12" i="23"/>
  <c r="AT12" i="23"/>
  <c r="E11" i="23"/>
  <c r="H11" i="23" s="1"/>
  <c r="K11" i="23" s="1"/>
  <c r="Q11" i="23" s="1"/>
  <c r="BI51" i="23"/>
  <c r="BH41" i="23"/>
  <c r="BE41" i="23" s="1"/>
  <c r="P41" i="23" s="1"/>
  <c r="BI52" i="23"/>
  <c r="BH42" i="23"/>
  <c r="BE42" i="23" s="1"/>
  <c r="P42" i="23" s="1"/>
  <c r="BI53" i="23"/>
  <c r="BH43" i="23"/>
  <c r="BE43" i="23" s="1"/>
  <c r="P43" i="23" s="1"/>
  <c r="B13" i="23"/>
  <c r="BG12" i="23"/>
  <c r="BD12" i="23" s="1"/>
  <c r="AS12" i="23"/>
  <c r="AP12" i="23" s="1"/>
  <c r="G12" i="23"/>
  <c r="J12" i="23" s="1"/>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AU28" i="27" l="1"/>
  <c r="AT28" i="27"/>
  <c r="S27" i="27"/>
  <c r="T27" i="27"/>
  <c r="E27" i="27" s="1"/>
  <c r="H27" i="27" s="1"/>
  <c r="K27" i="27" s="1"/>
  <c r="I27" i="27"/>
  <c r="B29" i="27"/>
  <c r="BG28" i="27"/>
  <c r="BD28" i="27" s="1"/>
  <c r="AS28" i="27"/>
  <c r="AP28" i="27" s="1"/>
  <c r="V28" i="27"/>
  <c r="F28" i="27"/>
  <c r="L28" i="27" s="1"/>
  <c r="M28" i="27" s="1"/>
  <c r="A28" i="27"/>
  <c r="U26" i="27"/>
  <c r="W26" i="27" s="1"/>
  <c r="X25" i="27"/>
  <c r="AU28" i="26"/>
  <c r="AT28" i="26"/>
  <c r="S27" i="26"/>
  <c r="T27" i="26"/>
  <c r="E27" i="26" s="1"/>
  <c r="H27" i="26" s="1"/>
  <c r="K27" i="26" s="1"/>
  <c r="I27" i="26"/>
  <c r="B29" i="26"/>
  <c r="BG28" i="26"/>
  <c r="BD28" i="26" s="1"/>
  <c r="AS28" i="26"/>
  <c r="AP28" i="26" s="1"/>
  <c r="V28" i="26"/>
  <c r="F28" i="26"/>
  <c r="L28" i="26" s="1"/>
  <c r="M28" i="26" s="1"/>
  <c r="A28" i="26"/>
  <c r="U26" i="26"/>
  <c r="W26" i="26" s="1"/>
  <c r="X25" i="26"/>
  <c r="AU28" i="25"/>
  <c r="AT28" i="25"/>
  <c r="S27" i="25"/>
  <c r="T27" i="25"/>
  <c r="E27" i="25" s="1"/>
  <c r="H27" i="25" s="1"/>
  <c r="K27" i="25" s="1"/>
  <c r="I27" i="25"/>
  <c r="B29" i="25"/>
  <c r="BG28" i="25"/>
  <c r="BD28" i="25" s="1"/>
  <c r="AS28" i="25"/>
  <c r="AP28" i="25" s="1"/>
  <c r="V28" i="25"/>
  <c r="F28" i="25"/>
  <c r="L28" i="25" s="1"/>
  <c r="M28" i="25" s="1"/>
  <c r="A28" i="25"/>
  <c r="U26" i="25"/>
  <c r="W26" i="25" s="1"/>
  <c r="X25" i="25"/>
  <c r="AU28" i="24"/>
  <c r="AT28" i="24"/>
  <c r="S27" i="24"/>
  <c r="T27" i="24"/>
  <c r="E27" i="24" s="1"/>
  <c r="H27" i="24" s="1"/>
  <c r="K27" i="24" s="1"/>
  <c r="I27" i="24"/>
  <c r="B29" i="24"/>
  <c r="BG28" i="24"/>
  <c r="BD28" i="24" s="1"/>
  <c r="AS28" i="24"/>
  <c r="AP28" i="24" s="1"/>
  <c r="V28" i="24"/>
  <c r="F28" i="24"/>
  <c r="L28" i="24" s="1"/>
  <c r="M28" i="24" s="1"/>
  <c r="A28" i="24"/>
  <c r="U26" i="24"/>
  <c r="W26" i="24" s="1"/>
  <c r="X25" i="24"/>
  <c r="R11" i="23"/>
  <c r="T12" i="23"/>
  <c r="E12" i="23" s="1"/>
  <c r="H12" i="23" s="1"/>
  <c r="K12" i="23" s="1"/>
  <c r="B14" i="23"/>
  <c r="BG13" i="23"/>
  <c r="BD13" i="23" s="1"/>
  <c r="AS13" i="23"/>
  <c r="AP13" i="23" s="1"/>
  <c r="I229" i="16"/>
  <c r="I230" i="16"/>
  <c r="I231" i="16"/>
  <c r="I232" i="16"/>
  <c r="I233" i="16"/>
  <c r="I234" i="16"/>
  <c r="I235" i="16"/>
  <c r="I236" i="16"/>
  <c r="I237" i="16"/>
  <c r="I238" i="16"/>
  <c r="I239" i="16"/>
  <c r="I240" i="16"/>
  <c r="I241" i="16"/>
  <c r="I242" i="16"/>
  <c r="I243" i="16"/>
  <c r="I244" i="16"/>
  <c r="I245" i="16"/>
  <c r="I246" i="16"/>
  <c r="I247" i="16"/>
  <c r="AU29" i="27" l="1"/>
  <c r="AT29" i="27"/>
  <c r="X26" i="27"/>
  <c r="S28" i="27"/>
  <c r="T28" i="27"/>
  <c r="E28" i="27" s="1"/>
  <c r="H28" i="27" s="1"/>
  <c r="K28" i="27" s="1"/>
  <c r="I28" i="27"/>
  <c r="B30" i="27"/>
  <c r="BG29" i="27"/>
  <c r="BD29" i="27" s="1"/>
  <c r="AS29" i="27"/>
  <c r="AP29" i="27" s="1"/>
  <c r="V29" i="27"/>
  <c r="F29" i="27"/>
  <c r="L29" i="27" s="1"/>
  <c r="M29" i="27" s="1"/>
  <c r="A29" i="27"/>
  <c r="U27" i="27"/>
  <c r="W27" i="27" s="1"/>
  <c r="AU29" i="26"/>
  <c r="AT29" i="26"/>
  <c r="X26" i="26"/>
  <c r="S28" i="26"/>
  <c r="T28" i="26"/>
  <c r="E28" i="26" s="1"/>
  <c r="H28" i="26" s="1"/>
  <c r="K28" i="26" s="1"/>
  <c r="I28" i="26"/>
  <c r="B30" i="26"/>
  <c r="BG29" i="26"/>
  <c r="BD29" i="26" s="1"/>
  <c r="AS29" i="26"/>
  <c r="AP29" i="26" s="1"/>
  <c r="V29" i="26"/>
  <c r="F29" i="26"/>
  <c r="L29" i="26" s="1"/>
  <c r="M29" i="26" s="1"/>
  <c r="A29" i="26"/>
  <c r="U27" i="26"/>
  <c r="W27" i="26" s="1"/>
  <c r="AU29" i="25"/>
  <c r="AT29" i="25"/>
  <c r="X26" i="25"/>
  <c r="S28" i="25"/>
  <c r="T28" i="25"/>
  <c r="E28" i="25" s="1"/>
  <c r="H28" i="25" s="1"/>
  <c r="K28" i="25" s="1"/>
  <c r="I28" i="25"/>
  <c r="B30" i="25"/>
  <c r="BG29" i="25"/>
  <c r="BD29" i="25" s="1"/>
  <c r="AS29" i="25"/>
  <c r="AP29" i="25" s="1"/>
  <c r="V29" i="25"/>
  <c r="F29" i="25"/>
  <c r="L29" i="25" s="1"/>
  <c r="M29" i="25" s="1"/>
  <c r="A29" i="25"/>
  <c r="U27" i="25"/>
  <c r="W27" i="25" s="1"/>
  <c r="AU29" i="24"/>
  <c r="AT29" i="24"/>
  <c r="X26" i="24"/>
  <c r="S28" i="24"/>
  <c r="T28" i="24"/>
  <c r="E28" i="24" s="1"/>
  <c r="H28" i="24" s="1"/>
  <c r="K28" i="24" s="1"/>
  <c r="I28" i="24"/>
  <c r="B30" i="24"/>
  <c r="BG29" i="24"/>
  <c r="BD29" i="24" s="1"/>
  <c r="AS29" i="24"/>
  <c r="AP29" i="24" s="1"/>
  <c r="V29" i="24"/>
  <c r="F29" i="24"/>
  <c r="L29" i="24" s="1"/>
  <c r="M29" i="24" s="1"/>
  <c r="A29" i="24"/>
  <c r="U27" i="24"/>
  <c r="W27" i="24" s="1"/>
  <c r="T13" i="23"/>
  <c r="E13" i="23" s="1"/>
  <c r="H13" i="23" s="1"/>
  <c r="K13" i="23" s="1"/>
  <c r="B15" i="23"/>
  <c r="BG14" i="23"/>
  <c r="BD14" i="23" s="1"/>
  <c r="AS14" i="23"/>
  <c r="AP14" i="23" s="1"/>
  <c r="H16" i="15"/>
  <c r="H17" i="15"/>
  <c r="H18" i="15"/>
  <c r="H12" i="15"/>
  <c r="AV30" i="27" l="1"/>
  <c r="AU30" i="27"/>
  <c r="AT30" i="27"/>
  <c r="S29" i="27"/>
  <c r="T29" i="27"/>
  <c r="E29" i="27" s="1"/>
  <c r="H29" i="27" s="1"/>
  <c r="K29" i="27" s="1"/>
  <c r="I29" i="27"/>
  <c r="B31" i="27"/>
  <c r="BG30" i="27"/>
  <c r="BD30" i="27" s="1"/>
  <c r="AS30" i="27"/>
  <c r="AP30" i="27" s="1"/>
  <c r="V30" i="27"/>
  <c r="F30" i="27"/>
  <c r="L30" i="27" s="1"/>
  <c r="M30" i="27" s="1"/>
  <c r="A30" i="27"/>
  <c r="U28" i="27"/>
  <c r="W28" i="27" s="1"/>
  <c r="X27" i="27"/>
  <c r="AV30" i="26"/>
  <c r="AU30" i="26"/>
  <c r="AT30" i="26"/>
  <c r="S29" i="26"/>
  <c r="T29" i="26"/>
  <c r="E29" i="26" s="1"/>
  <c r="H29" i="26" s="1"/>
  <c r="K29" i="26" s="1"/>
  <c r="I29" i="26"/>
  <c r="B31" i="26"/>
  <c r="BG30" i="26"/>
  <c r="BD30" i="26" s="1"/>
  <c r="AS30" i="26"/>
  <c r="AP30" i="26" s="1"/>
  <c r="V30" i="26"/>
  <c r="F30" i="26"/>
  <c r="L30" i="26" s="1"/>
  <c r="M30" i="26" s="1"/>
  <c r="A30" i="26"/>
  <c r="U28" i="26"/>
  <c r="W28" i="26" s="1"/>
  <c r="X27" i="26"/>
  <c r="AV30" i="25"/>
  <c r="AU30" i="25"/>
  <c r="AT30" i="25"/>
  <c r="S29" i="25"/>
  <c r="T29" i="25"/>
  <c r="E29" i="25" s="1"/>
  <c r="H29" i="25" s="1"/>
  <c r="K29" i="25" s="1"/>
  <c r="I29" i="25"/>
  <c r="B31" i="25"/>
  <c r="BG30" i="25"/>
  <c r="BD30" i="25" s="1"/>
  <c r="AS30" i="25"/>
  <c r="AP30" i="25" s="1"/>
  <c r="V30" i="25"/>
  <c r="F30" i="25"/>
  <c r="L30" i="25" s="1"/>
  <c r="M30" i="25" s="1"/>
  <c r="A30" i="25"/>
  <c r="U28" i="25"/>
  <c r="W28" i="25" s="1"/>
  <c r="X27" i="25"/>
  <c r="AV30" i="24"/>
  <c r="AU30" i="24"/>
  <c r="AT30" i="24"/>
  <c r="S29" i="24"/>
  <c r="T29" i="24"/>
  <c r="E29" i="24" s="1"/>
  <c r="H29" i="24" s="1"/>
  <c r="K29" i="24" s="1"/>
  <c r="I29" i="24"/>
  <c r="B31" i="24"/>
  <c r="BG30" i="24"/>
  <c r="BD30" i="24" s="1"/>
  <c r="AS30" i="24"/>
  <c r="AP30" i="24" s="1"/>
  <c r="V30" i="24"/>
  <c r="F30" i="24"/>
  <c r="L30" i="24" s="1"/>
  <c r="M30" i="24" s="1"/>
  <c r="A30" i="24"/>
  <c r="U28" i="24"/>
  <c r="W28" i="24" s="1"/>
  <c r="X27" i="24"/>
  <c r="T14" i="23"/>
  <c r="E14" i="23" s="1"/>
  <c r="H14" i="23" s="1"/>
  <c r="K14" i="23" s="1"/>
  <c r="B16" i="23"/>
  <c r="BG15" i="23"/>
  <c r="BD15" i="23" s="1"/>
  <c r="AS15" i="23"/>
  <c r="AP15" i="23" s="1"/>
  <c r="F15" i="23"/>
  <c r="L15" i="23" s="1"/>
  <c r="M15" i="23" s="1"/>
  <c r="G18" i="15"/>
  <c r="AV31" i="27" l="1"/>
  <c r="AU31" i="27"/>
  <c r="AT31" i="27"/>
  <c r="X28" i="27"/>
  <c r="S30" i="27"/>
  <c r="T30" i="27"/>
  <c r="E30" i="27" s="1"/>
  <c r="H30" i="27" s="1"/>
  <c r="K30" i="27" s="1"/>
  <c r="I30" i="27"/>
  <c r="B32" i="27"/>
  <c r="BG31" i="27"/>
  <c r="BD31" i="27" s="1"/>
  <c r="AS31" i="27"/>
  <c r="AP31" i="27" s="1"/>
  <c r="V31" i="27"/>
  <c r="F31" i="27"/>
  <c r="L31" i="27" s="1"/>
  <c r="M31" i="27" s="1"/>
  <c r="A31" i="27"/>
  <c r="U29" i="27"/>
  <c r="W29" i="27" s="1"/>
  <c r="AV31" i="26"/>
  <c r="AU31" i="26"/>
  <c r="AT31" i="26"/>
  <c r="X28" i="26"/>
  <c r="S30" i="26"/>
  <c r="T30" i="26"/>
  <c r="E30" i="26" s="1"/>
  <c r="H30" i="26" s="1"/>
  <c r="K30" i="26" s="1"/>
  <c r="I30" i="26"/>
  <c r="B32" i="26"/>
  <c r="BG31" i="26"/>
  <c r="BD31" i="26" s="1"/>
  <c r="AS31" i="26"/>
  <c r="AP31" i="26" s="1"/>
  <c r="V31" i="26"/>
  <c r="F31" i="26"/>
  <c r="L31" i="26" s="1"/>
  <c r="M31" i="26" s="1"/>
  <c r="A31" i="26"/>
  <c r="U29" i="26"/>
  <c r="W29" i="26" s="1"/>
  <c r="AV31" i="25"/>
  <c r="AU31" i="25"/>
  <c r="AT31" i="25"/>
  <c r="X28" i="25"/>
  <c r="S30" i="25"/>
  <c r="T30" i="25"/>
  <c r="E30" i="25" s="1"/>
  <c r="H30" i="25" s="1"/>
  <c r="K30" i="25" s="1"/>
  <c r="I30" i="25"/>
  <c r="B32" i="25"/>
  <c r="BG31" i="25"/>
  <c r="BD31" i="25" s="1"/>
  <c r="AS31" i="25"/>
  <c r="AP31" i="25" s="1"/>
  <c r="V31" i="25"/>
  <c r="F31" i="25"/>
  <c r="L31" i="25" s="1"/>
  <c r="M31" i="25" s="1"/>
  <c r="A31" i="25"/>
  <c r="U29" i="25"/>
  <c r="W29" i="25" s="1"/>
  <c r="AV31" i="24"/>
  <c r="AU31" i="24"/>
  <c r="AT31" i="24"/>
  <c r="X28" i="24"/>
  <c r="S30" i="24"/>
  <c r="T30" i="24"/>
  <c r="E30" i="24" s="1"/>
  <c r="H30" i="24" s="1"/>
  <c r="K30" i="24" s="1"/>
  <c r="I30" i="24"/>
  <c r="B32" i="24"/>
  <c r="BG31" i="24"/>
  <c r="BD31" i="24" s="1"/>
  <c r="AS31" i="24"/>
  <c r="AP31" i="24" s="1"/>
  <c r="V31" i="24"/>
  <c r="F31" i="24"/>
  <c r="L31" i="24" s="1"/>
  <c r="M31" i="24" s="1"/>
  <c r="A31" i="24"/>
  <c r="U29" i="24"/>
  <c r="W29" i="24" s="1"/>
  <c r="T15" i="23"/>
  <c r="E15" i="23" s="1"/>
  <c r="H15" i="23" s="1"/>
  <c r="K15" i="23" s="1"/>
  <c r="I15" i="23"/>
  <c r="B17" i="23"/>
  <c r="BG16" i="23"/>
  <c r="BD16" i="23" s="1"/>
  <c r="AS16" i="23"/>
  <c r="AP16" i="23" s="1"/>
  <c r="F16" i="23"/>
  <c r="L16" i="23" s="1"/>
  <c r="M16" i="23" s="1"/>
  <c r="I38" i="11"/>
  <c r="B15" i="1"/>
  <c r="C31" i="3"/>
  <c r="V57" i="14"/>
  <c r="U57" i="14"/>
  <c r="V60" i="14"/>
  <c r="C19" i="3"/>
  <c r="C58" i="15"/>
  <c r="C57" i="15"/>
  <c r="C30" i="15"/>
  <c r="C108" i="15"/>
  <c r="C107" i="15"/>
  <c r="C106" i="15"/>
  <c r="C105" i="15"/>
  <c r="C103" i="15"/>
  <c r="C95" i="15"/>
  <c r="C92" i="15"/>
  <c r="C54" i="15"/>
  <c r="C63" i="15"/>
  <c r="C42" i="15"/>
  <c r="C27" i="15"/>
  <c r="C60" i="15"/>
  <c r="C59"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4" i="15"/>
  <c r="C102" i="15"/>
  <c r="C101" i="15"/>
  <c r="C100" i="15"/>
  <c r="C99" i="15"/>
  <c r="C98" i="15"/>
  <c r="C97" i="15"/>
  <c r="C96" i="15"/>
  <c r="C94" i="15"/>
  <c r="C93"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2" i="15"/>
  <c r="C61" i="15"/>
  <c r="C56" i="15"/>
  <c r="C55" i="15"/>
  <c r="C53" i="15"/>
  <c r="C52" i="15"/>
  <c r="C51" i="15"/>
  <c r="C50" i="15"/>
  <c r="C49" i="15"/>
  <c r="C48" i="15"/>
  <c r="C47" i="15"/>
  <c r="C46" i="15"/>
  <c r="C45" i="15"/>
  <c r="C44" i="15"/>
  <c r="C43" i="15"/>
  <c r="I8" i="15"/>
  <c r="C41" i="15"/>
  <c r="C40" i="15"/>
  <c r="H7" i="15"/>
  <c r="C39" i="15"/>
  <c r="H5" i="15"/>
  <c r="C36" i="15"/>
  <c r="I6" i="15"/>
  <c r="C38" i="15"/>
  <c r="C37" i="15"/>
  <c r="C35" i="15"/>
  <c r="C34" i="15"/>
  <c r="C33" i="15"/>
  <c r="C32" i="15"/>
  <c r="H6" i="15"/>
  <c r="C33" i="14" s="1"/>
  <c r="C31" i="15"/>
  <c r="C29" i="15"/>
  <c r="H9" i="15"/>
  <c r="C28" i="15"/>
  <c r="I9" i="15"/>
  <c r="C26" i="15"/>
  <c r="C25" i="15"/>
  <c r="C24" i="15"/>
  <c r="C23"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80" i="14"/>
  <c r="AD180" i="14"/>
  <c r="W180" i="14"/>
  <c r="W172" i="14"/>
  <c r="O172" i="14"/>
  <c r="N172" i="14"/>
  <c r="M172" i="14"/>
  <c r="L172" i="14"/>
  <c r="K172" i="14"/>
  <c r="J172" i="14"/>
  <c r="I172" i="14"/>
  <c r="H172" i="14"/>
  <c r="G172" i="14"/>
  <c r="F172" i="14"/>
  <c r="W167" i="14"/>
  <c r="U167" i="14"/>
  <c r="T167" i="14"/>
  <c r="S167" i="14"/>
  <c r="R167" i="14"/>
  <c r="Q167" i="14"/>
  <c r="P167" i="14"/>
  <c r="O167" i="14"/>
  <c r="N167" i="14"/>
  <c r="M167" i="14"/>
  <c r="L167" i="14"/>
  <c r="Y167" i="14" s="1"/>
  <c r="K167" i="14"/>
  <c r="J167" i="14"/>
  <c r="I167" i="14"/>
  <c r="H167"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K165" i="14"/>
  <c r="J165" i="14"/>
  <c r="I165" i="14"/>
  <c r="W164" i="14"/>
  <c r="U164" i="14"/>
  <c r="T164" i="14"/>
  <c r="S164" i="14"/>
  <c r="R164" i="14"/>
  <c r="Q164" i="14"/>
  <c r="P164" i="14"/>
  <c r="O164" i="14"/>
  <c r="N164" i="14"/>
  <c r="M164" i="14"/>
  <c r="L164" i="14"/>
  <c r="H164" i="14"/>
  <c r="W163" i="14"/>
  <c r="U163" i="14"/>
  <c r="T163" i="14"/>
  <c r="S163" i="14"/>
  <c r="R163" i="14"/>
  <c r="Q163" i="14"/>
  <c r="P163" i="14"/>
  <c r="O163" i="14"/>
  <c r="N163" i="14"/>
  <c r="M163" i="14"/>
  <c r="L163" i="14"/>
  <c r="Y163" i="14" s="1"/>
  <c r="K163" i="14"/>
  <c r="J163" i="14"/>
  <c r="I163" i="14"/>
  <c r="H163" i="14"/>
  <c r="W162" i="14"/>
  <c r="U162" i="14"/>
  <c r="T162" i="14"/>
  <c r="S162" i="14"/>
  <c r="R162" i="14"/>
  <c r="Q162" i="14"/>
  <c r="P162" i="14"/>
  <c r="O162" i="14"/>
  <c r="N162" i="14"/>
  <c r="M162" i="14"/>
  <c r="L162" i="14"/>
  <c r="K162" i="14"/>
  <c r="J162" i="14"/>
  <c r="I162" i="14"/>
  <c r="H162" i="14"/>
  <c r="W161" i="14"/>
  <c r="U161" i="14"/>
  <c r="T161" i="14"/>
  <c r="S161" i="14"/>
  <c r="R161" i="14"/>
  <c r="Q161" i="14"/>
  <c r="P161" i="14"/>
  <c r="O161" i="14"/>
  <c r="N161" i="14"/>
  <c r="M161" i="14"/>
  <c r="L161" i="14"/>
  <c r="H161" i="14"/>
  <c r="G161" i="14"/>
  <c r="F161" i="14"/>
  <c r="X160" i="14"/>
  <c r="X159" i="14"/>
  <c r="X158" i="14"/>
  <c r="X157" i="14"/>
  <c r="H157" i="14"/>
  <c r="H165" i="14" s="1"/>
  <c r="Y165" i="14" s="1"/>
  <c r="X156" i="14"/>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3" i="14"/>
  <c r="N63" i="14"/>
  <c r="M63" i="14"/>
  <c r="L63" i="14"/>
  <c r="K63" i="14"/>
  <c r="K164" i="14" s="1"/>
  <c r="J63" i="14"/>
  <c r="J164" i="14" s="1"/>
  <c r="I63" i="14"/>
  <c r="I164" i="14" s="1"/>
  <c r="X62" i="14"/>
  <c r="X161" i="14" s="1"/>
  <c r="W60" i="14"/>
  <c r="U60" i="14"/>
  <c r="T60" i="14"/>
  <c r="S60" i="14"/>
  <c r="R60" i="14"/>
  <c r="Q60" i="14"/>
  <c r="P60" i="14"/>
  <c r="O60" i="14"/>
  <c r="N60" i="14"/>
  <c r="M60" i="14"/>
  <c r="L60" i="14"/>
  <c r="K60" i="14"/>
  <c r="J60" i="14"/>
  <c r="I60" i="14"/>
  <c r="H60" i="14"/>
  <c r="I59" i="14"/>
  <c r="H59" i="14"/>
  <c r="H58" i="14"/>
  <c r="W57" i="14"/>
  <c r="T57" i="14"/>
  <c r="S57" i="14"/>
  <c r="R57" i="14"/>
  <c r="Q57" i="14"/>
  <c r="P57" i="14"/>
  <c r="O57" i="14"/>
  <c r="N57" i="14"/>
  <c r="M57" i="14"/>
  <c r="L57" i="14"/>
  <c r="K57" i="14"/>
  <c r="J57" i="14"/>
  <c r="I57" i="14"/>
  <c r="H57" i="14"/>
  <c r="G55" i="14"/>
  <c r="G56" i="14" s="1"/>
  <c r="H56" i="14" s="1"/>
  <c r="F55"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AV32" i="27" l="1"/>
  <c r="AU32" i="27"/>
  <c r="AT32" i="27"/>
  <c r="S31" i="27"/>
  <c r="T31" i="27"/>
  <c r="E31" i="27" s="1"/>
  <c r="H31" i="27" s="1"/>
  <c r="K31" i="27" s="1"/>
  <c r="I31" i="27"/>
  <c r="B33" i="27"/>
  <c r="BG32" i="27"/>
  <c r="BD32" i="27" s="1"/>
  <c r="AS32" i="27"/>
  <c r="AP32" i="27" s="1"/>
  <c r="V32" i="27"/>
  <c r="F32" i="27"/>
  <c r="L32" i="27" s="1"/>
  <c r="M32" i="27" s="1"/>
  <c r="A32" i="27"/>
  <c r="U30" i="27"/>
  <c r="W30" i="27" s="1"/>
  <c r="X29" i="27"/>
  <c r="AV32" i="26"/>
  <c r="AU32" i="26"/>
  <c r="AT32" i="26"/>
  <c r="S31" i="26"/>
  <c r="T31" i="26"/>
  <c r="E31" i="26" s="1"/>
  <c r="H31" i="26" s="1"/>
  <c r="K31" i="26" s="1"/>
  <c r="I31" i="26"/>
  <c r="B33" i="26"/>
  <c r="BG32" i="26"/>
  <c r="BD32" i="26" s="1"/>
  <c r="AS32" i="26"/>
  <c r="AP32" i="26" s="1"/>
  <c r="V32" i="26"/>
  <c r="F32" i="26"/>
  <c r="L32" i="26" s="1"/>
  <c r="M32" i="26" s="1"/>
  <c r="A32" i="26"/>
  <c r="U30" i="26"/>
  <c r="W30" i="26" s="1"/>
  <c r="X29" i="26"/>
  <c r="AV32" i="25"/>
  <c r="AU32" i="25"/>
  <c r="AT32" i="25"/>
  <c r="S31" i="25"/>
  <c r="T31" i="25"/>
  <c r="E31" i="25" s="1"/>
  <c r="H31" i="25" s="1"/>
  <c r="K31" i="25" s="1"/>
  <c r="I31" i="25"/>
  <c r="B33" i="25"/>
  <c r="BG32" i="25"/>
  <c r="BD32" i="25" s="1"/>
  <c r="AS32" i="25"/>
  <c r="AP32" i="25" s="1"/>
  <c r="V32" i="25"/>
  <c r="F32" i="25"/>
  <c r="L32" i="25" s="1"/>
  <c r="M32" i="25" s="1"/>
  <c r="A32" i="25"/>
  <c r="U30" i="25"/>
  <c r="W30" i="25" s="1"/>
  <c r="X29" i="25"/>
  <c r="AV32" i="24"/>
  <c r="AU32" i="24"/>
  <c r="AT32" i="24"/>
  <c r="S31" i="24"/>
  <c r="T31" i="24"/>
  <c r="E31" i="24" s="1"/>
  <c r="H31" i="24" s="1"/>
  <c r="K31" i="24" s="1"/>
  <c r="I31" i="24"/>
  <c r="B33" i="24"/>
  <c r="BG32" i="24"/>
  <c r="BD32" i="24" s="1"/>
  <c r="AS32" i="24"/>
  <c r="AP32" i="24" s="1"/>
  <c r="V32" i="24"/>
  <c r="F32" i="24"/>
  <c r="L32" i="24" s="1"/>
  <c r="M32" i="24" s="1"/>
  <c r="A32" i="24"/>
  <c r="U30" i="24"/>
  <c r="W30" i="24" s="1"/>
  <c r="X29" i="24"/>
  <c r="U11" i="23"/>
  <c r="U12" i="23"/>
  <c r="U13" i="23"/>
  <c r="U14" i="23"/>
  <c r="T16" i="23"/>
  <c r="E16" i="23" s="1"/>
  <c r="H16" i="23" s="1"/>
  <c r="K16" i="23" s="1"/>
  <c r="I16" i="23"/>
  <c r="B18" i="23"/>
  <c r="BG17" i="23"/>
  <c r="BD17" i="23" s="1"/>
  <c r="AS17" i="23"/>
  <c r="AP17" i="23" s="1"/>
  <c r="F17" i="23"/>
  <c r="L17" i="23" s="1"/>
  <c r="M17" i="23" s="1"/>
  <c r="U15" i="23"/>
  <c r="B31" i="3"/>
  <c r="G2" i="11"/>
  <c r="C51" i="14"/>
  <c r="C39" i="14"/>
  <c r="C27" i="3"/>
  <c r="D27" i="3"/>
  <c r="G27" i="3"/>
  <c r="F27" i="3"/>
  <c r="E27" i="3"/>
  <c r="E22" i="3"/>
  <c r="C22" i="3"/>
  <c r="D24" i="3"/>
  <c r="C24" i="3"/>
  <c r="G24" i="3"/>
  <c r="C28" i="3"/>
  <c r="C25" i="14" s="1"/>
  <c r="Y162" i="14"/>
  <c r="Y168" i="14" s="1"/>
  <c r="I5" i="15"/>
  <c r="C26" i="14" s="1"/>
  <c r="H8" i="15"/>
  <c r="C45" i="14" s="1"/>
  <c r="E24" i="3"/>
  <c r="F24" i="3"/>
  <c r="F28" i="3" s="1"/>
  <c r="C44" i="14" s="1"/>
  <c r="G28" i="3"/>
  <c r="C50" i="14" s="1"/>
  <c r="G171" i="14"/>
  <c r="X16" i="14"/>
  <c r="X22" i="14"/>
  <c r="Y164" i="14"/>
  <c r="X6" i="14"/>
  <c r="X20" i="14"/>
  <c r="C12" i="14"/>
  <c r="I20" i="14"/>
  <c r="F7" i="14"/>
  <c r="C18" i="14"/>
  <c r="F8" i="14"/>
  <c r="X8" i="14" s="1"/>
  <c r="X21" i="14"/>
  <c r="I161" i="14"/>
  <c r="G173" i="14"/>
  <c r="H22" i="14"/>
  <c r="H171" i="14" s="1"/>
  <c r="J161" i="14"/>
  <c r="K161" i="14"/>
  <c r="W53" i="14" l="1"/>
  <c r="V53" i="14"/>
  <c r="U53" i="14"/>
  <c r="X53" i="14" s="1"/>
  <c r="W52" i="14"/>
  <c r="V52" i="14"/>
  <c r="U52" i="14"/>
  <c r="T52" i="14"/>
  <c r="X52" i="14" s="1"/>
  <c r="W51" i="14"/>
  <c r="W55" i="14" s="1"/>
  <c r="V51" i="14"/>
  <c r="V55" i="14" s="1"/>
  <c r="U51" i="14"/>
  <c r="X51" i="14" s="1"/>
  <c r="U47" i="14"/>
  <c r="T47" i="14"/>
  <c r="S47" i="14"/>
  <c r="X47" i="14" s="1"/>
  <c r="U46" i="14"/>
  <c r="T46" i="14"/>
  <c r="S46" i="14"/>
  <c r="R46" i="14"/>
  <c r="X46" i="14" s="1"/>
  <c r="U45" i="14"/>
  <c r="U55" i="14" s="1"/>
  <c r="T45" i="14"/>
  <c r="T55" i="14" s="1"/>
  <c r="S45" i="14"/>
  <c r="L28" i="14"/>
  <c r="K28" i="14"/>
  <c r="J28" i="14"/>
  <c r="X28" i="14" s="1"/>
  <c r="L27" i="14"/>
  <c r="K27" i="14"/>
  <c r="J27" i="14"/>
  <c r="I27" i="14"/>
  <c r="L26" i="14"/>
  <c r="K26" i="14"/>
  <c r="K55" i="14" s="1"/>
  <c r="AW33" i="27"/>
  <c r="AV33" i="27"/>
  <c r="AU33" i="27"/>
  <c r="AT33" i="27"/>
  <c r="X30" i="27"/>
  <c r="S32" i="27"/>
  <c r="T32" i="27"/>
  <c r="E32" i="27" s="1"/>
  <c r="H32" i="27" s="1"/>
  <c r="K32" i="27" s="1"/>
  <c r="I32" i="27"/>
  <c r="B34" i="27"/>
  <c r="BG33" i="27"/>
  <c r="BD33" i="27" s="1"/>
  <c r="AS33" i="27"/>
  <c r="AP33" i="27" s="1"/>
  <c r="V33" i="27"/>
  <c r="F33" i="27"/>
  <c r="L33" i="27" s="1"/>
  <c r="M33" i="27" s="1"/>
  <c r="A33" i="27"/>
  <c r="U31" i="27"/>
  <c r="W31" i="27" s="1"/>
  <c r="AW33" i="26"/>
  <c r="AV33" i="26"/>
  <c r="AU33" i="26"/>
  <c r="AT33" i="26"/>
  <c r="X30" i="26"/>
  <c r="S32" i="26"/>
  <c r="T32" i="26"/>
  <c r="E32" i="26" s="1"/>
  <c r="H32" i="26" s="1"/>
  <c r="K32" i="26" s="1"/>
  <c r="I32" i="26"/>
  <c r="B34" i="26"/>
  <c r="BG33" i="26"/>
  <c r="BD33" i="26" s="1"/>
  <c r="AS33" i="26"/>
  <c r="AP33" i="26" s="1"/>
  <c r="V33" i="26"/>
  <c r="F33" i="26"/>
  <c r="L33" i="26" s="1"/>
  <c r="M33" i="26" s="1"/>
  <c r="A33" i="26"/>
  <c r="U31" i="26"/>
  <c r="W31" i="26" s="1"/>
  <c r="AW33" i="25"/>
  <c r="AV33" i="25"/>
  <c r="AU33" i="25"/>
  <c r="AT33" i="25"/>
  <c r="X30" i="25"/>
  <c r="S32" i="25"/>
  <c r="T32" i="25"/>
  <c r="E32" i="25" s="1"/>
  <c r="H32" i="25" s="1"/>
  <c r="K32" i="25" s="1"/>
  <c r="I32" i="25"/>
  <c r="B34" i="25"/>
  <c r="BG33" i="25"/>
  <c r="BD33" i="25" s="1"/>
  <c r="AS33" i="25"/>
  <c r="AP33" i="25" s="1"/>
  <c r="V33" i="25"/>
  <c r="F33" i="25"/>
  <c r="L33" i="25" s="1"/>
  <c r="M33" i="25" s="1"/>
  <c r="A33" i="25"/>
  <c r="U31" i="25"/>
  <c r="W31" i="25" s="1"/>
  <c r="AW33" i="24"/>
  <c r="AV33" i="24"/>
  <c r="AU33" i="24"/>
  <c r="AT33" i="24"/>
  <c r="X30" i="24"/>
  <c r="S32" i="24"/>
  <c r="T32" i="24"/>
  <c r="E32" i="24" s="1"/>
  <c r="H32" i="24" s="1"/>
  <c r="K32" i="24" s="1"/>
  <c r="I32" i="24"/>
  <c r="B34" i="24"/>
  <c r="BG33" i="24"/>
  <c r="BD33" i="24" s="1"/>
  <c r="AS33" i="24"/>
  <c r="AP33" i="24" s="1"/>
  <c r="V33" i="24"/>
  <c r="F33" i="24"/>
  <c r="L33" i="24" s="1"/>
  <c r="M33" i="24" s="1"/>
  <c r="A33" i="24"/>
  <c r="U31" i="24"/>
  <c r="W31" i="24" s="1"/>
  <c r="T17" i="23"/>
  <c r="E17" i="23" s="1"/>
  <c r="H17" i="23" s="1"/>
  <c r="K17" i="23" s="1"/>
  <c r="I17" i="23"/>
  <c r="B19" i="23"/>
  <c r="BG18" i="23"/>
  <c r="BD18" i="23" s="1"/>
  <c r="AS18" i="23"/>
  <c r="AP18" i="23" s="1"/>
  <c r="F18" i="23"/>
  <c r="L18" i="23" s="1"/>
  <c r="M18" i="23" s="1"/>
  <c r="U16" i="23"/>
  <c r="T59" i="14"/>
  <c r="S58" i="14"/>
  <c r="V59" i="14"/>
  <c r="X170" i="14"/>
  <c r="U59" i="14"/>
  <c r="K171" i="14"/>
  <c r="J58" i="14"/>
  <c r="K58" i="14"/>
  <c r="E28" i="3"/>
  <c r="D28" i="3"/>
  <c r="C32" i="14" s="1"/>
  <c r="W59" i="14"/>
  <c r="X7" i="14"/>
  <c r="X10" i="14" s="1"/>
  <c r="F10" i="14"/>
  <c r="F171" i="14" s="1"/>
  <c r="T58" i="14"/>
  <c r="K59" i="14"/>
  <c r="I22" i="14"/>
  <c r="I171" i="14" s="1"/>
  <c r="L59" i="14"/>
  <c r="J171" i="14"/>
  <c r="W171" i="14"/>
  <c r="J59" i="14"/>
  <c r="W58" i="14"/>
  <c r="O35" i="14" l="1"/>
  <c r="N35" i="14"/>
  <c r="M35" i="14"/>
  <c r="X35" i="14" s="1"/>
  <c r="O34" i="14"/>
  <c r="N34" i="14"/>
  <c r="M34" i="14"/>
  <c r="L34" i="14"/>
  <c r="X34" i="14" s="1"/>
  <c r="O33" i="14"/>
  <c r="N33" i="14"/>
  <c r="N55" i="14" s="1"/>
  <c r="M33" i="14"/>
  <c r="J55" i="14"/>
  <c r="X26" i="14"/>
  <c r="C14" i="27"/>
  <c r="F14" i="27" s="1"/>
  <c r="C14" i="26"/>
  <c r="F14" i="26" s="1"/>
  <c r="C14" i="25"/>
  <c r="F14" i="25" s="1"/>
  <c r="C14" i="24"/>
  <c r="F14" i="24" s="1"/>
  <c r="L55" i="14"/>
  <c r="I55" i="14"/>
  <c r="X27" i="14"/>
  <c r="I58" i="14"/>
  <c r="S55" i="14"/>
  <c r="X45" i="14"/>
  <c r="AW34" i="27"/>
  <c r="AV34" i="27"/>
  <c r="AU34" i="27"/>
  <c r="AT34" i="27"/>
  <c r="S33" i="27"/>
  <c r="T33" i="27"/>
  <c r="E33" i="27" s="1"/>
  <c r="H33" i="27" s="1"/>
  <c r="K33" i="27" s="1"/>
  <c r="I33" i="27"/>
  <c r="B35" i="27"/>
  <c r="BG34" i="27"/>
  <c r="BD34" i="27" s="1"/>
  <c r="AS34" i="27"/>
  <c r="AP34" i="27" s="1"/>
  <c r="V34" i="27"/>
  <c r="F34" i="27"/>
  <c r="L34" i="27" s="1"/>
  <c r="M34" i="27" s="1"/>
  <c r="A34" i="27"/>
  <c r="U32" i="27"/>
  <c r="W32" i="27" s="1"/>
  <c r="X31" i="27"/>
  <c r="AW34" i="26"/>
  <c r="AV34" i="26"/>
  <c r="AU34" i="26"/>
  <c r="AT34" i="26"/>
  <c r="S33" i="26"/>
  <c r="T33" i="26"/>
  <c r="E33" i="26" s="1"/>
  <c r="H33" i="26" s="1"/>
  <c r="K33" i="26" s="1"/>
  <c r="I33" i="26"/>
  <c r="B35" i="26"/>
  <c r="BG34" i="26"/>
  <c r="BD34" i="26" s="1"/>
  <c r="AS34" i="26"/>
  <c r="AP34" i="26" s="1"/>
  <c r="V34" i="26"/>
  <c r="F34" i="26"/>
  <c r="L34" i="26" s="1"/>
  <c r="M34" i="26" s="1"/>
  <c r="A34" i="26"/>
  <c r="U32" i="26"/>
  <c r="W32" i="26" s="1"/>
  <c r="X31" i="26"/>
  <c r="AW34" i="25"/>
  <c r="AV34" i="25"/>
  <c r="AU34" i="25"/>
  <c r="AT34" i="25"/>
  <c r="S33" i="25"/>
  <c r="T33" i="25"/>
  <c r="E33" i="25" s="1"/>
  <c r="H33" i="25" s="1"/>
  <c r="K33" i="25" s="1"/>
  <c r="I33" i="25"/>
  <c r="B35" i="25"/>
  <c r="BG34" i="25"/>
  <c r="BD34" i="25" s="1"/>
  <c r="AS34" i="25"/>
  <c r="AP34" i="25" s="1"/>
  <c r="V34" i="25"/>
  <c r="F34" i="25"/>
  <c r="L34" i="25" s="1"/>
  <c r="M34" i="25" s="1"/>
  <c r="A34" i="25"/>
  <c r="U32" i="25"/>
  <c r="W32" i="25" s="1"/>
  <c r="X31" i="25"/>
  <c r="AW34" i="24"/>
  <c r="AV34" i="24"/>
  <c r="AU34" i="24"/>
  <c r="AT34" i="24"/>
  <c r="S33" i="24"/>
  <c r="T33" i="24"/>
  <c r="E33" i="24" s="1"/>
  <c r="H33" i="24" s="1"/>
  <c r="K33" i="24" s="1"/>
  <c r="I33" i="24"/>
  <c r="B35" i="24"/>
  <c r="BG34" i="24"/>
  <c r="BD34" i="24" s="1"/>
  <c r="AS34" i="24"/>
  <c r="AP34" i="24" s="1"/>
  <c r="V34" i="24"/>
  <c r="F34" i="24"/>
  <c r="L34" i="24" s="1"/>
  <c r="M34" i="24" s="1"/>
  <c r="A34" i="24"/>
  <c r="U32" i="24"/>
  <c r="W32" i="24" s="1"/>
  <c r="X31" i="24"/>
  <c r="C13" i="23"/>
  <c r="F13" i="23" s="1"/>
  <c r="C14" i="23"/>
  <c r="F14" i="23" s="1"/>
  <c r="T18" i="23"/>
  <c r="E18" i="23" s="1"/>
  <c r="H18" i="23" s="1"/>
  <c r="K18" i="23" s="1"/>
  <c r="I18" i="23"/>
  <c r="B20" i="23"/>
  <c r="BG19" i="23"/>
  <c r="BD19" i="23" s="1"/>
  <c r="AS19" i="23"/>
  <c r="AP19" i="23" s="1"/>
  <c r="F19" i="23"/>
  <c r="L19" i="23" s="1"/>
  <c r="M19" i="23" s="1"/>
  <c r="U17" i="23"/>
  <c r="N58" i="14"/>
  <c r="C38" i="14"/>
  <c r="U58" i="14"/>
  <c r="V58" i="14"/>
  <c r="S59" i="14"/>
  <c r="Y48" i="14"/>
  <c r="Y54" i="14"/>
  <c r="F173" i="14"/>
  <c r="Y29" i="14"/>
  <c r="R41" i="14" l="1"/>
  <c r="Q41" i="14"/>
  <c r="P41" i="14"/>
  <c r="X41" i="14" s="1"/>
  <c r="R40" i="14"/>
  <c r="Q40" i="14"/>
  <c r="P40" i="14"/>
  <c r="O40" i="14"/>
  <c r="X40" i="14" s="1"/>
  <c r="R39" i="14"/>
  <c r="R55" i="14" s="1"/>
  <c r="Q39" i="14"/>
  <c r="Q55" i="14" s="1"/>
  <c r="P39" i="14"/>
  <c r="C12" i="27"/>
  <c r="F12" i="27" s="1"/>
  <c r="C12" i="26"/>
  <c r="F12" i="26" s="1"/>
  <c r="C12" i="25"/>
  <c r="F12" i="25" s="1"/>
  <c r="C12" i="24"/>
  <c r="F12" i="24" s="1"/>
  <c r="I56" i="14"/>
  <c r="J56" i="14" s="1"/>
  <c r="K56" i="14" s="1"/>
  <c r="C12" i="23"/>
  <c r="F12" i="23" s="1"/>
  <c r="L14" i="24"/>
  <c r="M14" i="24" s="1"/>
  <c r="I14" i="24"/>
  <c r="L14" i="25"/>
  <c r="M14" i="25" s="1"/>
  <c r="I14" i="25"/>
  <c r="L14" i="26"/>
  <c r="M14" i="26" s="1"/>
  <c r="I14" i="26"/>
  <c r="L14" i="27"/>
  <c r="M14" i="27" s="1"/>
  <c r="I14" i="27"/>
  <c r="C13" i="27"/>
  <c r="F13" i="27" s="1"/>
  <c r="C13" i="26"/>
  <c r="F13" i="26" s="1"/>
  <c r="C13" i="25"/>
  <c r="F13" i="25" s="1"/>
  <c r="C13" i="24"/>
  <c r="F13" i="24" s="1"/>
  <c r="M55" i="14"/>
  <c r="X33" i="14"/>
  <c r="O55" i="14"/>
  <c r="AX35" i="27"/>
  <c r="AW35" i="27"/>
  <c r="AV35" i="27"/>
  <c r="AU35" i="27"/>
  <c r="AT35" i="27"/>
  <c r="X32" i="27"/>
  <c r="S34" i="27"/>
  <c r="T34" i="27"/>
  <c r="E34" i="27" s="1"/>
  <c r="H34" i="27" s="1"/>
  <c r="K34" i="27" s="1"/>
  <c r="I34" i="27"/>
  <c r="B36" i="27"/>
  <c r="BG35" i="27"/>
  <c r="BD35" i="27" s="1"/>
  <c r="AS35" i="27"/>
  <c r="AP35" i="27" s="1"/>
  <c r="V35" i="27"/>
  <c r="F35" i="27"/>
  <c r="L35" i="27" s="1"/>
  <c r="M35" i="27" s="1"/>
  <c r="A35" i="27"/>
  <c r="U33" i="27"/>
  <c r="W33" i="27" s="1"/>
  <c r="AX35" i="26"/>
  <c r="AW35" i="26"/>
  <c r="AV35" i="26"/>
  <c r="AU35" i="26"/>
  <c r="AT35" i="26"/>
  <c r="X32" i="26"/>
  <c r="S34" i="26"/>
  <c r="T34" i="26"/>
  <c r="E34" i="26" s="1"/>
  <c r="H34" i="26" s="1"/>
  <c r="K34" i="26" s="1"/>
  <c r="I34" i="26"/>
  <c r="B36" i="26"/>
  <c r="BG35" i="26"/>
  <c r="BD35" i="26" s="1"/>
  <c r="AS35" i="26"/>
  <c r="AP35" i="26" s="1"/>
  <c r="V35" i="26"/>
  <c r="F35" i="26"/>
  <c r="L35" i="26" s="1"/>
  <c r="M35" i="26" s="1"/>
  <c r="A35" i="26"/>
  <c r="U33" i="26"/>
  <c r="W33" i="26" s="1"/>
  <c r="AX35" i="25"/>
  <c r="AW35" i="25"/>
  <c r="AV35" i="25"/>
  <c r="AU35" i="25"/>
  <c r="AT35" i="25"/>
  <c r="X32" i="25"/>
  <c r="S34" i="25"/>
  <c r="T34" i="25"/>
  <c r="E34" i="25" s="1"/>
  <c r="H34" i="25" s="1"/>
  <c r="K34" i="25" s="1"/>
  <c r="I34" i="25"/>
  <c r="B36" i="25"/>
  <c r="BG35" i="25"/>
  <c r="BD35" i="25" s="1"/>
  <c r="AS35" i="25"/>
  <c r="AP35" i="25" s="1"/>
  <c r="V35" i="25"/>
  <c r="F35" i="25"/>
  <c r="L35" i="25" s="1"/>
  <c r="M35" i="25" s="1"/>
  <c r="A35" i="25"/>
  <c r="U33" i="25"/>
  <c r="W33" i="25" s="1"/>
  <c r="AX35" i="24"/>
  <c r="AW35" i="24"/>
  <c r="AV35" i="24"/>
  <c r="AU35" i="24"/>
  <c r="AT35" i="24"/>
  <c r="X32" i="24"/>
  <c r="S34" i="24"/>
  <c r="T34" i="24"/>
  <c r="E34" i="24" s="1"/>
  <c r="H34" i="24" s="1"/>
  <c r="K34" i="24" s="1"/>
  <c r="I34" i="24"/>
  <c r="B36" i="24"/>
  <c r="BG35" i="24"/>
  <c r="BD35" i="24" s="1"/>
  <c r="AS35" i="24"/>
  <c r="AP35" i="24" s="1"/>
  <c r="V35" i="24"/>
  <c r="F35" i="24"/>
  <c r="L35" i="24" s="1"/>
  <c r="M35" i="24" s="1"/>
  <c r="A35" i="24"/>
  <c r="U33" i="24"/>
  <c r="W33" i="24" s="1"/>
  <c r="L14" i="23"/>
  <c r="M14" i="23" s="1"/>
  <c r="AT19" i="23" s="1"/>
  <c r="I14" i="23"/>
  <c r="L13" i="23"/>
  <c r="M13" i="23" s="1"/>
  <c r="I13" i="23"/>
  <c r="AT20" i="23"/>
  <c r="T19" i="23"/>
  <c r="E19" i="23" s="1"/>
  <c r="H19" i="23" s="1"/>
  <c r="K19" i="23" s="1"/>
  <c r="I19" i="23"/>
  <c r="B21" i="23"/>
  <c r="BG20" i="23"/>
  <c r="BD20" i="23" s="1"/>
  <c r="AS20" i="23"/>
  <c r="AP20" i="23" s="1"/>
  <c r="F20" i="23"/>
  <c r="L20" i="23" s="1"/>
  <c r="M20" i="23" s="1"/>
  <c r="U18" i="23"/>
  <c r="P58" i="14"/>
  <c r="Q58" i="14"/>
  <c r="O59" i="14"/>
  <c r="O171" i="14"/>
  <c r="N171" i="14"/>
  <c r="N59" i="14"/>
  <c r="O58" i="14"/>
  <c r="L58" i="14"/>
  <c r="L171" i="14"/>
  <c r="M59" i="14"/>
  <c r="M171" i="14"/>
  <c r="M58" i="14"/>
  <c r="L13" i="24" l="1"/>
  <c r="M13" i="24" s="1"/>
  <c r="I13" i="24"/>
  <c r="L13" i="25"/>
  <c r="M13" i="25" s="1"/>
  <c r="I13" i="25"/>
  <c r="L13" i="26"/>
  <c r="M13" i="26" s="1"/>
  <c r="I13" i="26"/>
  <c r="L13" i="27"/>
  <c r="M13" i="27" s="1"/>
  <c r="I13" i="27"/>
  <c r="AT19" i="27"/>
  <c r="AU24" i="27"/>
  <c r="AV29" i="27"/>
  <c r="AW32" i="27"/>
  <c r="AX34" i="27"/>
  <c r="AT19" i="26"/>
  <c r="AU24" i="26"/>
  <c r="AV29" i="26"/>
  <c r="AW32" i="26"/>
  <c r="AX34" i="26"/>
  <c r="AT19" i="25"/>
  <c r="AU24" i="25"/>
  <c r="AV29" i="25"/>
  <c r="AW32" i="25"/>
  <c r="AX34" i="25"/>
  <c r="AT19" i="24"/>
  <c r="AU24" i="24"/>
  <c r="AV29" i="24"/>
  <c r="AW32" i="24"/>
  <c r="AX34" i="24"/>
  <c r="L12" i="23"/>
  <c r="M12" i="23" s="1"/>
  <c r="I12" i="23"/>
  <c r="Q12" i="23" s="1"/>
  <c r="R12" i="23" s="1"/>
  <c r="L12" i="24"/>
  <c r="M12" i="24" s="1"/>
  <c r="I12" i="24"/>
  <c r="Q12" i="24" s="1"/>
  <c r="L12" i="25"/>
  <c r="M12" i="25" s="1"/>
  <c r="I12" i="25"/>
  <c r="Q12" i="25" s="1"/>
  <c r="L12" i="26"/>
  <c r="M12" i="26" s="1"/>
  <c r="I12" i="26"/>
  <c r="Q12" i="26" s="1"/>
  <c r="L12" i="27"/>
  <c r="M12" i="27" s="1"/>
  <c r="I12" i="27"/>
  <c r="Q12" i="27" s="1"/>
  <c r="P55" i="14"/>
  <c r="X39" i="14"/>
  <c r="X55" i="14" s="1"/>
  <c r="BB36" i="27"/>
  <c r="BA36" i="27"/>
  <c r="AZ36" i="27"/>
  <c r="AQ36" i="27" s="1"/>
  <c r="N36" i="27" s="1"/>
  <c r="AY36" i="27"/>
  <c r="AX36" i="27"/>
  <c r="AW36" i="27"/>
  <c r="AV36" i="27"/>
  <c r="AU36" i="27"/>
  <c r="AT36" i="27"/>
  <c r="S35" i="27"/>
  <c r="T35" i="27"/>
  <c r="E35" i="27" s="1"/>
  <c r="H35" i="27" s="1"/>
  <c r="K35" i="27" s="1"/>
  <c r="I35" i="27"/>
  <c r="B37" i="27"/>
  <c r="BG36" i="27"/>
  <c r="BD36" i="27" s="1"/>
  <c r="AS36" i="27"/>
  <c r="AP36" i="27" s="1"/>
  <c r="V36" i="27"/>
  <c r="F36" i="27"/>
  <c r="L36" i="27" s="1"/>
  <c r="M36" i="27" s="1"/>
  <c r="A36" i="27"/>
  <c r="U34" i="27"/>
  <c r="W34" i="27" s="1"/>
  <c r="X33" i="27"/>
  <c r="BB36" i="26"/>
  <c r="BA36" i="26"/>
  <c r="AZ36" i="26"/>
  <c r="AQ36" i="26" s="1"/>
  <c r="N36" i="26" s="1"/>
  <c r="AY36" i="26"/>
  <c r="AX36" i="26"/>
  <c r="AW36" i="26"/>
  <c r="AV36" i="26"/>
  <c r="AU36" i="26"/>
  <c r="AT36" i="26"/>
  <c r="S35" i="26"/>
  <c r="T35" i="26"/>
  <c r="E35" i="26" s="1"/>
  <c r="H35" i="26" s="1"/>
  <c r="K35" i="26" s="1"/>
  <c r="I35" i="26"/>
  <c r="B37" i="26"/>
  <c r="BG36" i="26"/>
  <c r="BD36" i="26" s="1"/>
  <c r="AS36" i="26"/>
  <c r="AP36" i="26" s="1"/>
  <c r="V36" i="26"/>
  <c r="F36" i="26"/>
  <c r="L36" i="26" s="1"/>
  <c r="M36" i="26" s="1"/>
  <c r="A36" i="26"/>
  <c r="U34" i="26"/>
  <c r="W34" i="26" s="1"/>
  <c r="X33" i="26"/>
  <c r="BB36" i="25"/>
  <c r="BA36" i="25"/>
  <c r="AZ36" i="25"/>
  <c r="AQ36" i="25" s="1"/>
  <c r="N36" i="25" s="1"/>
  <c r="AY36" i="25"/>
  <c r="AX36" i="25"/>
  <c r="AW36" i="25"/>
  <c r="AV36" i="25"/>
  <c r="AU36" i="25"/>
  <c r="AT36" i="25"/>
  <c r="S35" i="25"/>
  <c r="T35" i="25"/>
  <c r="E35" i="25" s="1"/>
  <c r="H35" i="25" s="1"/>
  <c r="K35" i="25" s="1"/>
  <c r="I35" i="25"/>
  <c r="B37" i="25"/>
  <c r="BG36" i="25"/>
  <c r="BD36" i="25" s="1"/>
  <c r="AS36" i="25"/>
  <c r="AP36" i="25" s="1"/>
  <c r="V36" i="25"/>
  <c r="F36" i="25"/>
  <c r="L36" i="25" s="1"/>
  <c r="M36" i="25" s="1"/>
  <c r="A36" i="25"/>
  <c r="U34" i="25"/>
  <c r="W34" i="25" s="1"/>
  <c r="X33" i="25"/>
  <c r="BB36" i="24"/>
  <c r="BA36" i="24"/>
  <c r="AZ36" i="24"/>
  <c r="AQ36" i="24" s="1"/>
  <c r="N36" i="24" s="1"/>
  <c r="AY36" i="24"/>
  <c r="AX36" i="24"/>
  <c r="AW36" i="24"/>
  <c r="AV36" i="24"/>
  <c r="AU36" i="24"/>
  <c r="AT36" i="24"/>
  <c r="S35" i="24"/>
  <c r="T35" i="24"/>
  <c r="E35" i="24" s="1"/>
  <c r="H35" i="24" s="1"/>
  <c r="K35" i="24" s="1"/>
  <c r="I35" i="24"/>
  <c r="B37" i="24"/>
  <c r="BG36" i="24"/>
  <c r="BD36" i="24" s="1"/>
  <c r="AS36" i="24"/>
  <c r="AP36" i="24" s="1"/>
  <c r="V36" i="24"/>
  <c r="F36" i="24"/>
  <c r="L36" i="24" s="1"/>
  <c r="M36" i="24" s="1"/>
  <c r="A36" i="24"/>
  <c r="U34" i="24"/>
  <c r="W34" i="24" s="1"/>
  <c r="X33" i="24"/>
  <c r="AT18" i="23"/>
  <c r="BB19" i="23"/>
  <c r="BA19" i="23"/>
  <c r="AZ19" i="23"/>
  <c r="AQ19" i="23" s="1"/>
  <c r="N19" i="23" s="1"/>
  <c r="AY19" i="23"/>
  <c r="AX19" i="23"/>
  <c r="AW19" i="23"/>
  <c r="AV19" i="23"/>
  <c r="AU19" i="23"/>
  <c r="BB14" i="23"/>
  <c r="BA14" i="23"/>
  <c r="AZ14" i="23"/>
  <c r="AQ14" i="23" s="1"/>
  <c r="N14" i="23" s="1"/>
  <c r="AY14" i="23"/>
  <c r="AX14" i="23"/>
  <c r="AW14" i="23"/>
  <c r="AV14" i="23"/>
  <c r="AU14" i="23"/>
  <c r="AT14"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AT17" i="23"/>
  <c r="BB17" i="23"/>
  <c r="BA17" i="23"/>
  <c r="AZ17" i="23"/>
  <c r="AQ17" i="23" s="1"/>
  <c r="N17" i="23" s="1"/>
  <c r="AY17" i="23"/>
  <c r="AX17" i="23"/>
  <c r="AW17" i="23"/>
  <c r="AV17" i="23"/>
  <c r="AU17" i="23"/>
  <c r="BB18" i="23"/>
  <c r="BA18" i="23"/>
  <c r="AZ18" i="23"/>
  <c r="AQ18" i="23" s="1"/>
  <c r="N18" i="23" s="1"/>
  <c r="AY18" i="23"/>
  <c r="AX18" i="23"/>
  <c r="AW18" i="23"/>
  <c r="AV18" i="23"/>
  <c r="AU18" i="23"/>
  <c r="BB21" i="23"/>
  <c r="BA21" i="23"/>
  <c r="AZ21" i="23"/>
  <c r="AQ21" i="23" s="1"/>
  <c r="N21" i="23" s="1"/>
  <c r="AY21" i="23"/>
  <c r="AX21" i="23"/>
  <c r="AW21" i="23"/>
  <c r="AV21" i="23"/>
  <c r="AU21" i="23"/>
  <c r="AT21" i="23"/>
  <c r="I20" i="23"/>
  <c r="B22" i="23"/>
  <c r="BG21" i="23"/>
  <c r="BD21" i="23" s="1"/>
  <c r="AS21" i="23"/>
  <c r="AP21" i="23" s="1"/>
  <c r="F21" i="23"/>
  <c r="L21" i="23" s="1"/>
  <c r="M21" i="23" s="1"/>
  <c r="U19" i="23"/>
  <c r="Y36" i="14"/>
  <c r="P59" i="14"/>
  <c r="Q59" i="14"/>
  <c r="R59" i="14"/>
  <c r="R58" i="14"/>
  <c r="L56" i="14"/>
  <c r="M56" i="14" s="1"/>
  <c r="N56" i="14" s="1"/>
  <c r="O56" i="14" s="1"/>
  <c r="P56" i="14" s="1"/>
  <c r="Q56" i="14" s="1"/>
  <c r="R56" i="14" s="1"/>
  <c r="S56" i="14" s="1"/>
  <c r="T56" i="14" s="1"/>
  <c r="U56" i="14" s="1"/>
  <c r="V56" i="14" s="1"/>
  <c r="W56" i="14" s="1"/>
  <c r="R12" i="27" l="1"/>
  <c r="Y12" i="27"/>
  <c r="BB13" i="27"/>
  <c r="BA13" i="27"/>
  <c r="AZ13" i="27"/>
  <c r="AQ13" i="27" s="1"/>
  <c r="N13" i="27" s="1"/>
  <c r="AY13" i="27"/>
  <c r="AX13" i="27"/>
  <c r="AW13" i="27"/>
  <c r="AV13" i="27"/>
  <c r="AU13" i="27"/>
  <c r="AT13" i="27"/>
  <c r="BB14" i="27"/>
  <c r="BA14" i="27"/>
  <c r="AZ14" i="27"/>
  <c r="AQ14" i="27" s="1"/>
  <c r="N14" i="27" s="1"/>
  <c r="AY14" i="27"/>
  <c r="AX14" i="27"/>
  <c r="AW14" i="27"/>
  <c r="AV14" i="27"/>
  <c r="AU14" i="27"/>
  <c r="AT14" i="27"/>
  <c r="BB15" i="27"/>
  <c r="BA15" i="27"/>
  <c r="AZ15" i="27"/>
  <c r="AQ15" i="27" s="1"/>
  <c r="N15" i="27" s="1"/>
  <c r="AY15" i="27"/>
  <c r="AX15" i="27"/>
  <c r="AW15" i="27"/>
  <c r="AV15" i="27"/>
  <c r="AU15" i="27"/>
  <c r="AT15" i="27"/>
  <c r="BB16" i="27"/>
  <c r="BA16" i="27"/>
  <c r="AZ16" i="27"/>
  <c r="AQ16" i="27" s="1"/>
  <c r="N16" i="27" s="1"/>
  <c r="AY16" i="27"/>
  <c r="AX16" i="27"/>
  <c r="AW16" i="27"/>
  <c r="AV16" i="27"/>
  <c r="AU16" i="27"/>
  <c r="AT16" i="27"/>
  <c r="AT17" i="27"/>
  <c r="BB17" i="27"/>
  <c r="BA17" i="27"/>
  <c r="AZ17" i="27"/>
  <c r="AQ17" i="27" s="1"/>
  <c r="N17" i="27" s="1"/>
  <c r="AY17" i="27"/>
  <c r="AX17" i="27"/>
  <c r="AW17" i="27"/>
  <c r="AV17" i="27"/>
  <c r="AU17" i="27"/>
  <c r="BB18" i="27"/>
  <c r="BA18" i="27"/>
  <c r="AZ18" i="27"/>
  <c r="AQ18" i="27" s="1"/>
  <c r="N18" i="27" s="1"/>
  <c r="AY18" i="27"/>
  <c r="AX18" i="27"/>
  <c r="AW18" i="27"/>
  <c r="AV18" i="27"/>
  <c r="AU18" i="27"/>
  <c r="BB19" i="27"/>
  <c r="BA19" i="27"/>
  <c r="AZ19" i="27"/>
  <c r="AQ19" i="27" s="1"/>
  <c r="N19" i="27" s="1"/>
  <c r="AY19" i="27"/>
  <c r="AX19" i="27"/>
  <c r="AW19" i="27"/>
  <c r="AV19" i="27"/>
  <c r="AU19" i="27"/>
  <c r="BB20" i="27"/>
  <c r="BA20" i="27"/>
  <c r="AZ20" i="27"/>
  <c r="AQ20" i="27" s="1"/>
  <c r="N20" i="27" s="1"/>
  <c r="AY20" i="27"/>
  <c r="AX20" i="27"/>
  <c r="AW20" i="27"/>
  <c r="AV20" i="27"/>
  <c r="AU20" i="27"/>
  <c r="BB21" i="27"/>
  <c r="BA21" i="27"/>
  <c r="AZ21" i="27"/>
  <c r="AQ21" i="27" s="1"/>
  <c r="N21" i="27" s="1"/>
  <c r="AY21" i="27"/>
  <c r="AX21" i="27"/>
  <c r="AW21" i="27"/>
  <c r="AV21" i="27"/>
  <c r="AU21" i="27"/>
  <c r="BB22" i="27"/>
  <c r="BA22" i="27"/>
  <c r="AZ22" i="27"/>
  <c r="AQ22" i="27" s="1"/>
  <c r="N22" i="27" s="1"/>
  <c r="AY22" i="27"/>
  <c r="AX22" i="27"/>
  <c r="AW22" i="27"/>
  <c r="AV22" i="27"/>
  <c r="AU22" i="27"/>
  <c r="BB23" i="27"/>
  <c r="BA23" i="27"/>
  <c r="AZ23" i="27"/>
  <c r="AQ23" i="27" s="1"/>
  <c r="N23" i="27" s="1"/>
  <c r="AY23" i="27"/>
  <c r="AX23" i="27"/>
  <c r="AW23" i="27"/>
  <c r="AV23" i="27"/>
  <c r="BB24" i="27"/>
  <c r="BA24" i="27"/>
  <c r="AZ24" i="27"/>
  <c r="AQ24" i="27" s="1"/>
  <c r="N24" i="27" s="1"/>
  <c r="AY24" i="27"/>
  <c r="AX24" i="27"/>
  <c r="AW24" i="27"/>
  <c r="AV24" i="27"/>
  <c r="BB25" i="27"/>
  <c r="BA25" i="27"/>
  <c r="AZ25" i="27"/>
  <c r="AQ25" i="27" s="1"/>
  <c r="N25" i="27" s="1"/>
  <c r="AY25" i="27"/>
  <c r="AX25" i="27"/>
  <c r="AW25" i="27"/>
  <c r="AV25" i="27"/>
  <c r="BB26" i="27"/>
  <c r="BA26" i="27"/>
  <c r="AZ26" i="27"/>
  <c r="AQ26" i="27" s="1"/>
  <c r="N26" i="27" s="1"/>
  <c r="AY26" i="27"/>
  <c r="AX26" i="27"/>
  <c r="AW26" i="27"/>
  <c r="AV26" i="27"/>
  <c r="BB27" i="27"/>
  <c r="BA27" i="27"/>
  <c r="AZ27" i="27"/>
  <c r="AQ27" i="27" s="1"/>
  <c r="N27" i="27" s="1"/>
  <c r="AY27" i="27"/>
  <c r="AX27" i="27"/>
  <c r="AW27" i="27"/>
  <c r="AV27" i="27"/>
  <c r="BB28" i="27"/>
  <c r="BA28" i="27"/>
  <c r="AZ28" i="27"/>
  <c r="AQ28" i="27" s="1"/>
  <c r="N28" i="27" s="1"/>
  <c r="AY28" i="27"/>
  <c r="AX28" i="27"/>
  <c r="AW28" i="27"/>
  <c r="BB29" i="27"/>
  <c r="BA29" i="27"/>
  <c r="AZ29" i="27"/>
  <c r="AQ29" i="27" s="1"/>
  <c r="N29" i="27" s="1"/>
  <c r="AY29" i="27"/>
  <c r="AX29" i="27"/>
  <c r="AW29" i="27"/>
  <c r="BB30" i="27"/>
  <c r="BA30" i="27"/>
  <c r="AZ30" i="27"/>
  <c r="AQ30" i="27" s="1"/>
  <c r="N30" i="27" s="1"/>
  <c r="AY30" i="27"/>
  <c r="AX30" i="27"/>
  <c r="AW30" i="27"/>
  <c r="BB31" i="27"/>
  <c r="BA31" i="27"/>
  <c r="AZ31" i="27"/>
  <c r="AQ31" i="27" s="1"/>
  <c r="N31" i="27" s="1"/>
  <c r="AY31" i="27"/>
  <c r="AX31" i="27"/>
  <c r="BB32" i="27"/>
  <c r="BA32" i="27"/>
  <c r="AZ32" i="27"/>
  <c r="AQ32" i="27" s="1"/>
  <c r="N32" i="27" s="1"/>
  <c r="AY32" i="27"/>
  <c r="AX32" i="27"/>
  <c r="BB33" i="27"/>
  <c r="BA33" i="27"/>
  <c r="AZ33" i="27"/>
  <c r="AQ33" i="27" s="1"/>
  <c r="N33" i="27" s="1"/>
  <c r="AY33" i="27"/>
  <c r="BB34" i="27"/>
  <c r="BA34" i="27"/>
  <c r="AZ34" i="27"/>
  <c r="AQ34" i="27" s="1"/>
  <c r="N34" i="27" s="1"/>
  <c r="AY34" i="27"/>
  <c r="BB35" i="27"/>
  <c r="BA35" i="27"/>
  <c r="AZ35" i="27"/>
  <c r="AQ35" i="27" s="1"/>
  <c r="N35" i="27" s="1"/>
  <c r="AY35" i="27"/>
  <c r="R12" i="26"/>
  <c r="Y12" i="26"/>
  <c r="BB13" i="26"/>
  <c r="BA13" i="26"/>
  <c r="AZ13" i="26"/>
  <c r="AQ13" i="26" s="1"/>
  <c r="N13" i="26" s="1"/>
  <c r="AY13" i="26"/>
  <c r="AX13" i="26"/>
  <c r="AW13" i="26"/>
  <c r="AV13" i="26"/>
  <c r="AU13" i="26"/>
  <c r="AT13" i="26"/>
  <c r="BB14" i="26"/>
  <c r="BA14" i="26"/>
  <c r="AZ14" i="26"/>
  <c r="AQ14" i="26" s="1"/>
  <c r="N14" i="26" s="1"/>
  <c r="AY14" i="26"/>
  <c r="AX14" i="26"/>
  <c r="AW14" i="26"/>
  <c r="AV14" i="26"/>
  <c r="AU14" i="26"/>
  <c r="AT14" i="26"/>
  <c r="BB15" i="26"/>
  <c r="BA15" i="26"/>
  <c r="AZ15" i="26"/>
  <c r="AQ15" i="26" s="1"/>
  <c r="N15" i="26" s="1"/>
  <c r="AY15" i="26"/>
  <c r="AX15" i="26"/>
  <c r="AW15" i="26"/>
  <c r="AV15" i="26"/>
  <c r="AU15" i="26"/>
  <c r="AT15" i="26"/>
  <c r="BB16" i="26"/>
  <c r="BA16" i="26"/>
  <c r="AZ16" i="26"/>
  <c r="AQ16" i="26" s="1"/>
  <c r="N16" i="26" s="1"/>
  <c r="AY16" i="26"/>
  <c r="AX16" i="26"/>
  <c r="AW16" i="26"/>
  <c r="AV16" i="26"/>
  <c r="AU16" i="26"/>
  <c r="AT16" i="26"/>
  <c r="AT17" i="26"/>
  <c r="BB17" i="26"/>
  <c r="BA17" i="26"/>
  <c r="AZ17" i="26"/>
  <c r="AQ17" i="26" s="1"/>
  <c r="N17" i="26" s="1"/>
  <c r="AY17" i="26"/>
  <c r="AX17" i="26"/>
  <c r="AW17" i="26"/>
  <c r="AV17" i="26"/>
  <c r="AU17" i="26"/>
  <c r="BB18" i="26"/>
  <c r="BA18" i="26"/>
  <c r="AZ18" i="26"/>
  <c r="AQ18" i="26" s="1"/>
  <c r="N18" i="26" s="1"/>
  <c r="AY18" i="26"/>
  <c r="AX18" i="26"/>
  <c r="AW18" i="26"/>
  <c r="AV18" i="26"/>
  <c r="AU18" i="26"/>
  <c r="BB19" i="26"/>
  <c r="BA19" i="26"/>
  <c r="AZ19" i="26"/>
  <c r="AQ19" i="26" s="1"/>
  <c r="N19" i="26" s="1"/>
  <c r="AY19" i="26"/>
  <c r="AX19" i="26"/>
  <c r="AW19" i="26"/>
  <c r="AV19" i="26"/>
  <c r="AU19" i="26"/>
  <c r="BB20" i="26"/>
  <c r="BA20" i="26"/>
  <c r="AZ20" i="26"/>
  <c r="AQ20" i="26" s="1"/>
  <c r="N20" i="26" s="1"/>
  <c r="AY20" i="26"/>
  <c r="AX20" i="26"/>
  <c r="AW20" i="26"/>
  <c r="AV20" i="26"/>
  <c r="AU20" i="26"/>
  <c r="BB21" i="26"/>
  <c r="BA21" i="26"/>
  <c r="AZ21" i="26"/>
  <c r="AQ21" i="26" s="1"/>
  <c r="N21" i="26" s="1"/>
  <c r="AY21" i="26"/>
  <c r="AX21" i="26"/>
  <c r="AW21" i="26"/>
  <c r="AV21" i="26"/>
  <c r="AU21" i="26"/>
  <c r="BB22" i="26"/>
  <c r="BA22" i="26"/>
  <c r="AZ22" i="26"/>
  <c r="AQ22" i="26" s="1"/>
  <c r="N22" i="26" s="1"/>
  <c r="AY22" i="26"/>
  <c r="AX22" i="26"/>
  <c r="AW22" i="26"/>
  <c r="AV22" i="26"/>
  <c r="AU22" i="26"/>
  <c r="BB23" i="26"/>
  <c r="BA23" i="26"/>
  <c r="AZ23" i="26"/>
  <c r="AQ23" i="26" s="1"/>
  <c r="N23" i="26" s="1"/>
  <c r="AY23" i="26"/>
  <c r="AX23" i="26"/>
  <c r="AW23" i="26"/>
  <c r="AV23" i="26"/>
  <c r="BB24" i="26"/>
  <c r="BA24" i="26"/>
  <c r="AZ24" i="26"/>
  <c r="AQ24" i="26" s="1"/>
  <c r="N24" i="26" s="1"/>
  <c r="AY24" i="26"/>
  <c r="AX24" i="26"/>
  <c r="AW24" i="26"/>
  <c r="AV24" i="26"/>
  <c r="BB25" i="26"/>
  <c r="BA25" i="26"/>
  <c r="AZ25" i="26"/>
  <c r="AQ25" i="26" s="1"/>
  <c r="N25" i="26" s="1"/>
  <c r="AY25" i="26"/>
  <c r="AX25" i="26"/>
  <c r="AW25" i="26"/>
  <c r="AV25" i="26"/>
  <c r="BB26" i="26"/>
  <c r="BA26" i="26"/>
  <c r="AZ26" i="26"/>
  <c r="AQ26" i="26" s="1"/>
  <c r="N26" i="26" s="1"/>
  <c r="AY26" i="26"/>
  <c r="AX26" i="26"/>
  <c r="AW26" i="26"/>
  <c r="AV26" i="26"/>
  <c r="BB27" i="26"/>
  <c r="BA27" i="26"/>
  <c r="AZ27" i="26"/>
  <c r="AQ27" i="26" s="1"/>
  <c r="N27" i="26" s="1"/>
  <c r="AY27" i="26"/>
  <c r="AX27" i="26"/>
  <c r="AW27" i="26"/>
  <c r="AV27" i="26"/>
  <c r="BB28" i="26"/>
  <c r="BA28" i="26"/>
  <c r="AZ28" i="26"/>
  <c r="AQ28" i="26" s="1"/>
  <c r="N28" i="26" s="1"/>
  <c r="AY28" i="26"/>
  <c r="AX28" i="26"/>
  <c r="AW28" i="26"/>
  <c r="BB29" i="26"/>
  <c r="BA29" i="26"/>
  <c r="AZ29" i="26"/>
  <c r="AQ29" i="26" s="1"/>
  <c r="N29" i="26" s="1"/>
  <c r="AY29" i="26"/>
  <c r="AX29" i="26"/>
  <c r="AW29" i="26"/>
  <c r="BB30" i="26"/>
  <c r="BA30" i="26"/>
  <c r="AZ30" i="26"/>
  <c r="AQ30" i="26" s="1"/>
  <c r="N30" i="26" s="1"/>
  <c r="AY30" i="26"/>
  <c r="AX30" i="26"/>
  <c r="AW30" i="26"/>
  <c r="BB31" i="26"/>
  <c r="BA31" i="26"/>
  <c r="AZ31" i="26"/>
  <c r="AQ31" i="26" s="1"/>
  <c r="N31" i="26" s="1"/>
  <c r="AY31" i="26"/>
  <c r="AX31" i="26"/>
  <c r="BB32" i="26"/>
  <c r="BA32" i="26"/>
  <c r="AZ32" i="26"/>
  <c r="AQ32" i="26" s="1"/>
  <c r="N32" i="26" s="1"/>
  <c r="AY32" i="26"/>
  <c r="AX32" i="26"/>
  <c r="BB33" i="26"/>
  <c r="BA33" i="26"/>
  <c r="AZ33" i="26"/>
  <c r="AQ33" i="26" s="1"/>
  <c r="N33" i="26" s="1"/>
  <c r="AY33" i="26"/>
  <c r="BB34" i="26"/>
  <c r="BA34" i="26"/>
  <c r="AZ34" i="26"/>
  <c r="AQ34" i="26" s="1"/>
  <c r="N34" i="26" s="1"/>
  <c r="AY34" i="26"/>
  <c r="BB35" i="26"/>
  <c r="BA35" i="26"/>
  <c r="AZ35" i="26"/>
  <c r="AQ35" i="26" s="1"/>
  <c r="N35" i="26" s="1"/>
  <c r="AY35" i="26"/>
  <c r="R12" i="25"/>
  <c r="Y12" i="25"/>
  <c r="BB13" i="25"/>
  <c r="BA13" i="25"/>
  <c r="AZ13" i="25"/>
  <c r="AQ13" i="25" s="1"/>
  <c r="N13" i="25" s="1"/>
  <c r="AY13" i="25"/>
  <c r="AX13" i="25"/>
  <c r="AW13" i="25"/>
  <c r="AV13" i="25"/>
  <c r="AU13" i="25"/>
  <c r="AT13" i="25"/>
  <c r="BB14" i="25"/>
  <c r="BA14" i="25"/>
  <c r="AZ14" i="25"/>
  <c r="AQ14" i="25" s="1"/>
  <c r="N14" i="25" s="1"/>
  <c r="AY14" i="25"/>
  <c r="AX14" i="25"/>
  <c r="AW14" i="25"/>
  <c r="AV14" i="25"/>
  <c r="AU14" i="25"/>
  <c r="AT14" i="25"/>
  <c r="BB15" i="25"/>
  <c r="BA15" i="25"/>
  <c r="AZ15" i="25"/>
  <c r="AQ15" i="25" s="1"/>
  <c r="N15" i="25" s="1"/>
  <c r="AY15" i="25"/>
  <c r="AX15" i="25"/>
  <c r="AW15" i="25"/>
  <c r="AV15" i="25"/>
  <c r="AU15" i="25"/>
  <c r="AT15" i="25"/>
  <c r="BB16" i="25"/>
  <c r="BA16" i="25"/>
  <c r="AZ16" i="25"/>
  <c r="AQ16" i="25" s="1"/>
  <c r="N16" i="25" s="1"/>
  <c r="AY16" i="25"/>
  <c r="AX16" i="25"/>
  <c r="AW16" i="25"/>
  <c r="AV16" i="25"/>
  <c r="AU16" i="25"/>
  <c r="AT16" i="25"/>
  <c r="AT17" i="25"/>
  <c r="BB17" i="25"/>
  <c r="BA17" i="25"/>
  <c r="AZ17" i="25"/>
  <c r="AQ17" i="25" s="1"/>
  <c r="N17" i="25" s="1"/>
  <c r="AY17" i="25"/>
  <c r="AX17" i="25"/>
  <c r="AW17" i="25"/>
  <c r="AV17" i="25"/>
  <c r="AU17" i="25"/>
  <c r="BB18" i="25"/>
  <c r="BA18" i="25"/>
  <c r="AZ18" i="25"/>
  <c r="AQ18" i="25" s="1"/>
  <c r="N18" i="25" s="1"/>
  <c r="AY18" i="25"/>
  <c r="AX18" i="25"/>
  <c r="AW18" i="25"/>
  <c r="AV18" i="25"/>
  <c r="AU18" i="25"/>
  <c r="BB19" i="25"/>
  <c r="BA19" i="25"/>
  <c r="AZ19" i="25"/>
  <c r="AQ19" i="25" s="1"/>
  <c r="N19" i="25" s="1"/>
  <c r="AY19" i="25"/>
  <c r="AX19" i="25"/>
  <c r="AW19" i="25"/>
  <c r="AV19" i="25"/>
  <c r="AU19" i="25"/>
  <c r="BB20" i="25"/>
  <c r="BA20" i="25"/>
  <c r="AZ20" i="25"/>
  <c r="AQ20" i="25" s="1"/>
  <c r="N20" i="25" s="1"/>
  <c r="AY20" i="25"/>
  <c r="AX20" i="25"/>
  <c r="AW20" i="25"/>
  <c r="AV20" i="25"/>
  <c r="AU20" i="25"/>
  <c r="BB21" i="25"/>
  <c r="BA21" i="25"/>
  <c r="AZ21" i="25"/>
  <c r="AQ21" i="25" s="1"/>
  <c r="N21" i="25" s="1"/>
  <c r="AY21" i="25"/>
  <c r="AX21" i="25"/>
  <c r="AW21" i="25"/>
  <c r="AV21" i="25"/>
  <c r="AU21" i="25"/>
  <c r="BB22" i="25"/>
  <c r="BA22" i="25"/>
  <c r="AZ22" i="25"/>
  <c r="AQ22" i="25" s="1"/>
  <c r="N22" i="25" s="1"/>
  <c r="AY22" i="25"/>
  <c r="AX22" i="25"/>
  <c r="AW22" i="25"/>
  <c r="AV22" i="25"/>
  <c r="AU22" i="25"/>
  <c r="BB23" i="25"/>
  <c r="BA23" i="25"/>
  <c r="AZ23" i="25"/>
  <c r="AQ23" i="25" s="1"/>
  <c r="N23" i="25" s="1"/>
  <c r="AY23" i="25"/>
  <c r="AX23" i="25"/>
  <c r="AW23" i="25"/>
  <c r="AV23" i="25"/>
  <c r="BB24" i="25"/>
  <c r="BA24" i="25"/>
  <c r="AZ24" i="25"/>
  <c r="AQ24" i="25" s="1"/>
  <c r="N24" i="25" s="1"/>
  <c r="AY24" i="25"/>
  <c r="AX24" i="25"/>
  <c r="AW24" i="25"/>
  <c r="AV24" i="25"/>
  <c r="BB25" i="25"/>
  <c r="BA25" i="25"/>
  <c r="AZ25" i="25"/>
  <c r="AQ25" i="25" s="1"/>
  <c r="N25" i="25" s="1"/>
  <c r="AY25" i="25"/>
  <c r="AX25" i="25"/>
  <c r="AW25" i="25"/>
  <c r="AV25" i="25"/>
  <c r="BB26" i="25"/>
  <c r="BA26" i="25"/>
  <c r="AZ26" i="25"/>
  <c r="AQ26" i="25" s="1"/>
  <c r="N26" i="25" s="1"/>
  <c r="AY26" i="25"/>
  <c r="AX26" i="25"/>
  <c r="AW26" i="25"/>
  <c r="AV26" i="25"/>
  <c r="BB27" i="25"/>
  <c r="BA27" i="25"/>
  <c r="AZ27" i="25"/>
  <c r="AQ27" i="25" s="1"/>
  <c r="N27" i="25" s="1"/>
  <c r="AY27" i="25"/>
  <c r="AX27" i="25"/>
  <c r="AW27" i="25"/>
  <c r="AV27" i="25"/>
  <c r="BB28" i="25"/>
  <c r="BA28" i="25"/>
  <c r="AZ28" i="25"/>
  <c r="AQ28" i="25" s="1"/>
  <c r="N28" i="25" s="1"/>
  <c r="AY28" i="25"/>
  <c r="AX28" i="25"/>
  <c r="AW28" i="25"/>
  <c r="BB29" i="25"/>
  <c r="BA29" i="25"/>
  <c r="AZ29" i="25"/>
  <c r="AQ29" i="25" s="1"/>
  <c r="N29" i="25" s="1"/>
  <c r="AY29" i="25"/>
  <c r="AX29" i="25"/>
  <c r="AW29" i="25"/>
  <c r="BB30" i="25"/>
  <c r="BA30" i="25"/>
  <c r="AZ30" i="25"/>
  <c r="AQ30" i="25" s="1"/>
  <c r="N30" i="25" s="1"/>
  <c r="AY30" i="25"/>
  <c r="AX30" i="25"/>
  <c r="AW30" i="25"/>
  <c r="BB31" i="25"/>
  <c r="BA31" i="25"/>
  <c r="AZ31" i="25"/>
  <c r="AQ31" i="25" s="1"/>
  <c r="N31" i="25" s="1"/>
  <c r="AY31" i="25"/>
  <c r="AX31" i="25"/>
  <c r="BB32" i="25"/>
  <c r="BA32" i="25"/>
  <c r="AZ32" i="25"/>
  <c r="AQ32" i="25" s="1"/>
  <c r="N32" i="25" s="1"/>
  <c r="AY32" i="25"/>
  <c r="AX32" i="25"/>
  <c r="BB33" i="25"/>
  <c r="BA33" i="25"/>
  <c r="AZ33" i="25"/>
  <c r="AQ33" i="25" s="1"/>
  <c r="N33" i="25" s="1"/>
  <c r="AY33" i="25"/>
  <c r="BB34" i="25"/>
  <c r="BA34" i="25"/>
  <c r="AZ34" i="25"/>
  <c r="AQ34" i="25" s="1"/>
  <c r="N34" i="25" s="1"/>
  <c r="AY34" i="25"/>
  <c r="BB35" i="25"/>
  <c r="BA35" i="25"/>
  <c r="AZ35" i="25"/>
  <c r="AQ35" i="25" s="1"/>
  <c r="N35" i="25" s="1"/>
  <c r="AY35" i="25"/>
  <c r="R12" i="24"/>
  <c r="Y12" i="24"/>
  <c r="BB13" i="24"/>
  <c r="BA13" i="24"/>
  <c r="AZ13" i="24"/>
  <c r="AQ13" i="24" s="1"/>
  <c r="N13" i="24" s="1"/>
  <c r="AY13" i="24"/>
  <c r="AX13" i="24"/>
  <c r="AW13" i="24"/>
  <c r="AV13" i="24"/>
  <c r="AU13" i="24"/>
  <c r="AT13" i="24"/>
  <c r="BB14" i="24"/>
  <c r="BA14" i="24"/>
  <c r="AZ14" i="24"/>
  <c r="AQ14" i="24" s="1"/>
  <c r="N14" i="24" s="1"/>
  <c r="AY14" i="24"/>
  <c r="AX14" i="24"/>
  <c r="AW14" i="24"/>
  <c r="AV14" i="24"/>
  <c r="AU14" i="24"/>
  <c r="AT14" i="24"/>
  <c r="BB15" i="24"/>
  <c r="BA15" i="24"/>
  <c r="AZ15" i="24"/>
  <c r="AQ15" i="24" s="1"/>
  <c r="N15" i="24" s="1"/>
  <c r="AY15" i="24"/>
  <c r="AX15" i="24"/>
  <c r="AW15" i="24"/>
  <c r="AV15" i="24"/>
  <c r="AU15" i="24"/>
  <c r="AT15" i="24"/>
  <c r="BB16" i="24"/>
  <c r="BA16" i="24"/>
  <c r="AZ16" i="24"/>
  <c r="AQ16" i="24" s="1"/>
  <c r="N16" i="24" s="1"/>
  <c r="AY16" i="24"/>
  <c r="AX16" i="24"/>
  <c r="AW16" i="24"/>
  <c r="AV16" i="24"/>
  <c r="AU16" i="24"/>
  <c r="AT16" i="24"/>
  <c r="AT17" i="24"/>
  <c r="BB17" i="24"/>
  <c r="BA17" i="24"/>
  <c r="AZ17" i="24"/>
  <c r="AQ17" i="24" s="1"/>
  <c r="N17" i="24" s="1"/>
  <c r="AY17" i="24"/>
  <c r="AX17" i="24"/>
  <c r="AW17" i="24"/>
  <c r="AV17" i="24"/>
  <c r="AU17" i="24"/>
  <c r="BB18" i="24"/>
  <c r="BA18" i="24"/>
  <c r="AZ18" i="24"/>
  <c r="AQ18" i="24" s="1"/>
  <c r="N18" i="24" s="1"/>
  <c r="AY18" i="24"/>
  <c r="AX18" i="24"/>
  <c r="AW18" i="24"/>
  <c r="AV18" i="24"/>
  <c r="AU18" i="24"/>
  <c r="BB19" i="24"/>
  <c r="BA19" i="24"/>
  <c r="AZ19" i="24"/>
  <c r="AQ19" i="24" s="1"/>
  <c r="N19" i="24" s="1"/>
  <c r="AY19" i="24"/>
  <c r="AX19" i="24"/>
  <c r="AW19" i="24"/>
  <c r="AV19" i="24"/>
  <c r="AU19" i="24"/>
  <c r="BB20" i="24"/>
  <c r="BA20" i="24"/>
  <c r="AZ20" i="24"/>
  <c r="AQ20" i="24" s="1"/>
  <c r="N20" i="24" s="1"/>
  <c r="AY20" i="24"/>
  <c r="AX20" i="24"/>
  <c r="AW20" i="24"/>
  <c r="AV20" i="24"/>
  <c r="AU20" i="24"/>
  <c r="BB21" i="24"/>
  <c r="BA21" i="24"/>
  <c r="AZ21" i="24"/>
  <c r="AQ21" i="24" s="1"/>
  <c r="N21" i="24" s="1"/>
  <c r="AY21" i="24"/>
  <c r="AX21" i="24"/>
  <c r="AW21" i="24"/>
  <c r="AV21" i="24"/>
  <c r="AU21" i="24"/>
  <c r="BB22" i="24"/>
  <c r="BA22" i="24"/>
  <c r="AZ22" i="24"/>
  <c r="AQ22" i="24" s="1"/>
  <c r="N22" i="24" s="1"/>
  <c r="AY22" i="24"/>
  <c r="AX22" i="24"/>
  <c r="AW22" i="24"/>
  <c r="AV22" i="24"/>
  <c r="AU22" i="24"/>
  <c r="BB23" i="24"/>
  <c r="BA23" i="24"/>
  <c r="AZ23" i="24"/>
  <c r="AQ23" i="24" s="1"/>
  <c r="N23" i="24" s="1"/>
  <c r="AY23" i="24"/>
  <c r="AX23" i="24"/>
  <c r="AW23" i="24"/>
  <c r="AV23" i="24"/>
  <c r="BB24" i="24"/>
  <c r="BA24" i="24"/>
  <c r="AZ24" i="24"/>
  <c r="AQ24" i="24" s="1"/>
  <c r="N24" i="24" s="1"/>
  <c r="AY24" i="24"/>
  <c r="AX24" i="24"/>
  <c r="AW24" i="24"/>
  <c r="AV24" i="24"/>
  <c r="BB25" i="24"/>
  <c r="BA25" i="24"/>
  <c r="AZ25" i="24"/>
  <c r="AQ25" i="24" s="1"/>
  <c r="N25" i="24" s="1"/>
  <c r="AY25" i="24"/>
  <c r="AX25" i="24"/>
  <c r="AW25" i="24"/>
  <c r="AV25" i="24"/>
  <c r="BB26" i="24"/>
  <c r="BA26" i="24"/>
  <c r="AZ26" i="24"/>
  <c r="AQ26" i="24" s="1"/>
  <c r="N26" i="24" s="1"/>
  <c r="AY26" i="24"/>
  <c r="AX26" i="24"/>
  <c r="AW26" i="24"/>
  <c r="AV26" i="24"/>
  <c r="BB27" i="24"/>
  <c r="BA27" i="24"/>
  <c r="AZ27" i="24"/>
  <c r="AQ27" i="24" s="1"/>
  <c r="N27" i="24" s="1"/>
  <c r="AY27" i="24"/>
  <c r="AX27" i="24"/>
  <c r="AW27" i="24"/>
  <c r="AV27" i="24"/>
  <c r="BB28" i="24"/>
  <c r="BA28" i="24"/>
  <c r="AZ28" i="24"/>
  <c r="AQ28" i="24" s="1"/>
  <c r="N28" i="24" s="1"/>
  <c r="AY28" i="24"/>
  <c r="AX28" i="24"/>
  <c r="AW28" i="24"/>
  <c r="BB29" i="24"/>
  <c r="BA29" i="24"/>
  <c r="AZ29" i="24"/>
  <c r="AQ29" i="24" s="1"/>
  <c r="N29" i="24" s="1"/>
  <c r="AY29" i="24"/>
  <c r="AX29" i="24"/>
  <c r="AW29" i="24"/>
  <c r="BB30" i="24"/>
  <c r="BA30" i="24"/>
  <c r="AZ30" i="24"/>
  <c r="AQ30" i="24" s="1"/>
  <c r="N30" i="24" s="1"/>
  <c r="AY30" i="24"/>
  <c r="AX30" i="24"/>
  <c r="AW30" i="24"/>
  <c r="BB31" i="24"/>
  <c r="BA31" i="24"/>
  <c r="AZ31" i="24"/>
  <c r="AQ31" i="24" s="1"/>
  <c r="N31" i="24" s="1"/>
  <c r="AY31" i="24"/>
  <c r="AX31" i="24"/>
  <c r="BB32" i="24"/>
  <c r="BA32" i="24"/>
  <c r="AZ32" i="24"/>
  <c r="AQ32" i="24" s="1"/>
  <c r="N32" i="24" s="1"/>
  <c r="AY32" i="24"/>
  <c r="AX32" i="24"/>
  <c r="BB33" i="24"/>
  <c r="BA33" i="24"/>
  <c r="AZ33" i="24"/>
  <c r="AQ33" i="24" s="1"/>
  <c r="N33" i="24" s="1"/>
  <c r="AY33" i="24"/>
  <c r="BB34" i="24"/>
  <c r="BA34" i="24"/>
  <c r="AZ34" i="24"/>
  <c r="AQ34" i="24" s="1"/>
  <c r="N34" i="24" s="1"/>
  <c r="AY34" i="24"/>
  <c r="BB35" i="24"/>
  <c r="BA35" i="24"/>
  <c r="AZ35" i="24"/>
  <c r="AQ35" i="24" s="1"/>
  <c r="N35" i="24" s="1"/>
  <c r="AY35" i="24"/>
  <c r="BB13" i="23"/>
  <c r="BA13" i="23"/>
  <c r="AZ13" i="23"/>
  <c r="AQ13" i="23" s="1"/>
  <c r="N13" i="23" s="1"/>
  <c r="AY13" i="23"/>
  <c r="AX13" i="23"/>
  <c r="AW13" i="23"/>
  <c r="AV13" i="23"/>
  <c r="AU13" i="23"/>
  <c r="AT13" i="23"/>
  <c r="BB20" i="23"/>
  <c r="BA20" i="23"/>
  <c r="AZ20" i="23"/>
  <c r="AQ20" i="23" s="1"/>
  <c r="N20" i="23" s="1"/>
  <c r="AY20" i="23"/>
  <c r="AX20" i="23"/>
  <c r="AW20" i="23"/>
  <c r="AV20" i="23"/>
  <c r="AU20" i="23"/>
  <c r="AT18" i="27"/>
  <c r="AU23" i="27"/>
  <c r="AV28" i="27"/>
  <c r="AW31" i="27"/>
  <c r="AX33" i="27"/>
  <c r="AT18" i="26"/>
  <c r="AU23" i="26"/>
  <c r="AV28" i="26"/>
  <c r="AW31" i="26"/>
  <c r="AX33" i="26"/>
  <c r="AT18" i="25"/>
  <c r="AU23" i="25"/>
  <c r="AV28" i="25"/>
  <c r="AW31" i="25"/>
  <c r="AX33" i="25"/>
  <c r="AT18" i="24"/>
  <c r="AU23" i="24"/>
  <c r="AV28" i="24"/>
  <c r="AW31" i="24"/>
  <c r="AX33" i="24"/>
  <c r="BB37" i="27"/>
  <c r="BA37" i="27"/>
  <c r="AZ37" i="27"/>
  <c r="AQ37" i="27" s="1"/>
  <c r="N37" i="27" s="1"/>
  <c r="AY37" i="27"/>
  <c r="AX37" i="27"/>
  <c r="AW37" i="27"/>
  <c r="AV37" i="27"/>
  <c r="AU37" i="27"/>
  <c r="AT37" i="27"/>
  <c r="X34" i="27"/>
  <c r="S36" i="27"/>
  <c r="T36" i="27"/>
  <c r="E36" i="27" s="1"/>
  <c r="H36" i="27" s="1"/>
  <c r="K36" i="27" s="1"/>
  <c r="I36" i="27"/>
  <c r="B38" i="27"/>
  <c r="BG37" i="27"/>
  <c r="BD37" i="27" s="1"/>
  <c r="AS37" i="27"/>
  <c r="AP37" i="27" s="1"/>
  <c r="V37" i="27"/>
  <c r="F37" i="27"/>
  <c r="L37" i="27" s="1"/>
  <c r="M37" i="27" s="1"/>
  <c r="A37" i="27"/>
  <c r="U35" i="27"/>
  <c r="W35" i="27" s="1"/>
  <c r="BB37" i="26"/>
  <c r="BA37" i="26"/>
  <c r="AZ37" i="26"/>
  <c r="AQ37" i="26" s="1"/>
  <c r="N37" i="26" s="1"/>
  <c r="AY37" i="26"/>
  <c r="AX37" i="26"/>
  <c r="AW37" i="26"/>
  <c r="AV37" i="26"/>
  <c r="AU37" i="26"/>
  <c r="AT37" i="26"/>
  <c r="X34" i="26"/>
  <c r="S36" i="26"/>
  <c r="T36" i="26"/>
  <c r="E36" i="26" s="1"/>
  <c r="H36" i="26" s="1"/>
  <c r="K36" i="26" s="1"/>
  <c r="I36" i="26"/>
  <c r="B38" i="26"/>
  <c r="BG37" i="26"/>
  <c r="BD37" i="26" s="1"/>
  <c r="AS37" i="26"/>
  <c r="AP37" i="26" s="1"/>
  <c r="V37" i="26"/>
  <c r="F37" i="26"/>
  <c r="L37" i="26" s="1"/>
  <c r="M37" i="26" s="1"/>
  <c r="A37" i="26"/>
  <c r="U35" i="26"/>
  <c r="W35" i="26" s="1"/>
  <c r="BB37" i="25"/>
  <c r="BA37" i="25"/>
  <c r="AZ37" i="25"/>
  <c r="AQ37" i="25" s="1"/>
  <c r="N37" i="25" s="1"/>
  <c r="AY37" i="25"/>
  <c r="AX37" i="25"/>
  <c r="AW37" i="25"/>
  <c r="AV37" i="25"/>
  <c r="AU37" i="25"/>
  <c r="AT37" i="25"/>
  <c r="X34" i="25"/>
  <c r="S36" i="25"/>
  <c r="T36" i="25"/>
  <c r="E36" i="25" s="1"/>
  <c r="H36" i="25" s="1"/>
  <c r="K36" i="25" s="1"/>
  <c r="I36" i="25"/>
  <c r="B38" i="25"/>
  <c r="BG37" i="25"/>
  <c r="BD37" i="25" s="1"/>
  <c r="AS37" i="25"/>
  <c r="AP37" i="25" s="1"/>
  <c r="V37" i="25"/>
  <c r="F37" i="25"/>
  <c r="L37" i="25" s="1"/>
  <c r="M37" i="25" s="1"/>
  <c r="A37" i="25"/>
  <c r="U35" i="25"/>
  <c r="W35" i="25" s="1"/>
  <c r="BB37" i="24"/>
  <c r="BA37" i="24"/>
  <c r="AZ37" i="24"/>
  <c r="AQ37" i="24" s="1"/>
  <c r="N37" i="24" s="1"/>
  <c r="AY37" i="24"/>
  <c r="AX37" i="24"/>
  <c r="AW37" i="24"/>
  <c r="AV37" i="24"/>
  <c r="AU37" i="24"/>
  <c r="AT37" i="24"/>
  <c r="X34" i="24"/>
  <c r="S36" i="24"/>
  <c r="T36" i="24"/>
  <c r="E36" i="24" s="1"/>
  <c r="H36" i="24" s="1"/>
  <c r="K36" i="24" s="1"/>
  <c r="I36" i="24"/>
  <c r="B38" i="24"/>
  <c r="BG37" i="24"/>
  <c r="BD37" i="24" s="1"/>
  <c r="AS37" i="24"/>
  <c r="AP37" i="24" s="1"/>
  <c r="V37" i="24"/>
  <c r="F37" i="24"/>
  <c r="L37" i="24" s="1"/>
  <c r="M37" i="24" s="1"/>
  <c r="A37" i="24"/>
  <c r="U35" i="24"/>
  <c r="W35" i="24" s="1"/>
  <c r="BB22" i="23"/>
  <c r="BA22" i="23"/>
  <c r="AZ22" i="23"/>
  <c r="AQ22" i="23" s="1"/>
  <c r="N22" i="23" s="1"/>
  <c r="AY22" i="23"/>
  <c r="AX22" i="23"/>
  <c r="AW22" i="23"/>
  <c r="AV22" i="23"/>
  <c r="AU22" i="23"/>
  <c r="AT22" i="23"/>
  <c r="T21" i="23"/>
  <c r="E21" i="23" s="1"/>
  <c r="H21" i="23" s="1"/>
  <c r="K21" i="23" s="1"/>
  <c r="I21" i="23"/>
  <c r="B23" i="23"/>
  <c r="BG22" i="23"/>
  <c r="BD22" i="23" s="1"/>
  <c r="AS22" i="23"/>
  <c r="AP22" i="23" s="1"/>
  <c r="F22" i="23"/>
  <c r="L22" i="23" s="1"/>
  <c r="M22" i="23" s="1"/>
  <c r="Y42" i="14"/>
  <c r="Y56"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AA12" i="24" l="1"/>
  <c r="Z12" i="24"/>
  <c r="AB12" i="24" s="1"/>
  <c r="AA12" i="25"/>
  <c r="Z12" i="25"/>
  <c r="AB12" i="25" s="1"/>
  <c r="AA12" i="26"/>
  <c r="Z12" i="26"/>
  <c r="AB12" i="26" s="1"/>
  <c r="AA12" i="27"/>
  <c r="Z12" i="27"/>
  <c r="AB12" i="27" s="1"/>
  <c r="BB38" i="27"/>
  <c r="BA38" i="27"/>
  <c r="AZ38" i="27"/>
  <c r="AQ38" i="27" s="1"/>
  <c r="N38" i="27" s="1"/>
  <c r="AY38" i="27"/>
  <c r="AX38" i="27"/>
  <c r="AW38" i="27"/>
  <c r="AV38" i="27"/>
  <c r="AU38" i="27"/>
  <c r="AT38" i="27"/>
  <c r="S37" i="27"/>
  <c r="T37" i="27"/>
  <c r="E37" i="27" s="1"/>
  <c r="H37" i="27" s="1"/>
  <c r="K37" i="27" s="1"/>
  <c r="I37" i="27"/>
  <c r="B39" i="27"/>
  <c r="BG38" i="27"/>
  <c r="BD38" i="27" s="1"/>
  <c r="AS38" i="27"/>
  <c r="AP38" i="27" s="1"/>
  <c r="V38" i="27"/>
  <c r="F38" i="27"/>
  <c r="L38" i="27" s="1"/>
  <c r="M38" i="27" s="1"/>
  <c r="A38" i="27"/>
  <c r="U36" i="27"/>
  <c r="W36" i="27" s="1"/>
  <c r="X35" i="27"/>
  <c r="BB38" i="26"/>
  <c r="BA38" i="26"/>
  <c r="AZ38" i="26"/>
  <c r="AQ38" i="26" s="1"/>
  <c r="N38" i="26" s="1"/>
  <c r="AY38" i="26"/>
  <c r="AX38" i="26"/>
  <c r="AW38" i="26"/>
  <c r="AV38" i="26"/>
  <c r="AU38" i="26"/>
  <c r="AT38" i="26"/>
  <c r="S37" i="26"/>
  <c r="T37" i="26"/>
  <c r="E37" i="26" s="1"/>
  <c r="H37" i="26" s="1"/>
  <c r="K37" i="26" s="1"/>
  <c r="I37" i="26"/>
  <c r="B39" i="26"/>
  <c r="BG38" i="26"/>
  <c r="BD38" i="26" s="1"/>
  <c r="AS38" i="26"/>
  <c r="AP38" i="26" s="1"/>
  <c r="V38" i="26"/>
  <c r="F38" i="26"/>
  <c r="L38" i="26" s="1"/>
  <c r="M38" i="26" s="1"/>
  <c r="A38" i="26"/>
  <c r="U36" i="26"/>
  <c r="W36" i="26" s="1"/>
  <c r="X35" i="26"/>
  <c r="BB38" i="25"/>
  <c r="BA38" i="25"/>
  <c r="AZ38" i="25"/>
  <c r="AQ38" i="25" s="1"/>
  <c r="N38" i="25" s="1"/>
  <c r="AY38" i="25"/>
  <c r="AX38" i="25"/>
  <c r="AW38" i="25"/>
  <c r="AV38" i="25"/>
  <c r="AU38" i="25"/>
  <c r="AT38" i="25"/>
  <c r="S37" i="25"/>
  <c r="T37" i="25"/>
  <c r="E37" i="25" s="1"/>
  <c r="H37" i="25" s="1"/>
  <c r="K37" i="25" s="1"/>
  <c r="I37" i="25"/>
  <c r="B39" i="25"/>
  <c r="BG38" i="25"/>
  <c r="BD38" i="25" s="1"/>
  <c r="AS38" i="25"/>
  <c r="AP38" i="25" s="1"/>
  <c r="V38" i="25"/>
  <c r="F38" i="25"/>
  <c r="L38" i="25" s="1"/>
  <c r="M38" i="25" s="1"/>
  <c r="A38" i="25"/>
  <c r="U36" i="25"/>
  <c r="W36" i="25" s="1"/>
  <c r="X35" i="25"/>
  <c r="BB38" i="24"/>
  <c r="BA38" i="24"/>
  <c r="AZ38" i="24"/>
  <c r="AQ38" i="24" s="1"/>
  <c r="N38" i="24" s="1"/>
  <c r="AY38" i="24"/>
  <c r="AX38" i="24"/>
  <c r="AW38" i="24"/>
  <c r="AV38" i="24"/>
  <c r="AU38" i="24"/>
  <c r="AT38" i="24"/>
  <c r="S37" i="24"/>
  <c r="T37" i="24"/>
  <c r="E37" i="24" s="1"/>
  <c r="H37" i="24" s="1"/>
  <c r="K37" i="24" s="1"/>
  <c r="I37" i="24"/>
  <c r="B39" i="24"/>
  <c r="BG38" i="24"/>
  <c r="BD38" i="24" s="1"/>
  <c r="AS38" i="24"/>
  <c r="AP38" i="24" s="1"/>
  <c r="V38" i="24"/>
  <c r="F38" i="24"/>
  <c r="L38" i="24" s="1"/>
  <c r="M38" i="24" s="1"/>
  <c r="A38" i="24"/>
  <c r="U36" i="24"/>
  <c r="W36" i="24" s="1"/>
  <c r="X35" i="24"/>
  <c r="AI11" i="23"/>
  <c r="AI12" i="23"/>
  <c r="AI13" i="23"/>
  <c r="AI14" i="23"/>
  <c r="AI15" i="23"/>
  <c r="AI16" i="23"/>
  <c r="AI17" i="23"/>
  <c r="AI18" i="23"/>
  <c r="AI19" i="23"/>
  <c r="AI20" i="23"/>
  <c r="AI21" i="23"/>
  <c r="AI22" i="23"/>
  <c r="W11" i="23" s="1"/>
  <c r="AI23" i="23"/>
  <c r="V12" i="23"/>
  <c r="W12" i="23" s="1"/>
  <c r="AI24" i="23"/>
  <c r="V13" i="23"/>
  <c r="W13" i="23" s="1"/>
  <c r="AI25" i="23"/>
  <c r="V14" i="23"/>
  <c r="W14" i="23" s="1"/>
  <c r="AI26" i="23"/>
  <c r="V15" i="23"/>
  <c r="W15" i="23" s="1"/>
  <c r="AI27" i="23"/>
  <c r="V16" i="23"/>
  <c r="W16" i="23" s="1"/>
  <c r="AI28" i="23"/>
  <c r="V17" i="23"/>
  <c r="W17" i="23" s="1"/>
  <c r="AI29" i="23"/>
  <c r="V18" i="23"/>
  <c r="W18" i="23" s="1"/>
  <c r="AI30" i="23"/>
  <c r="V19" i="23"/>
  <c r="W19" i="23" s="1"/>
  <c r="AL31" i="23"/>
  <c r="AL32" i="23"/>
  <c r="AL33" i="23"/>
  <c r="AL34" i="23"/>
  <c r="AL35" i="23"/>
  <c r="AL36" i="23"/>
  <c r="AL37" i="23"/>
  <c r="AL38" i="23"/>
  <c r="AL39" i="23"/>
  <c r="AL40" i="23"/>
  <c r="AL41" i="23"/>
  <c r="AL42" i="23"/>
  <c r="AL43" i="23"/>
  <c r="AL44" i="23"/>
  <c r="AL45" i="23"/>
  <c r="AL46" i="23"/>
  <c r="AL47" i="23"/>
  <c r="AL48" i="23"/>
  <c r="AL49" i="23"/>
  <c r="AL50" i="23"/>
  <c r="AL51" i="23"/>
  <c r="AL52" i="23"/>
  <c r="AL53" i="23"/>
  <c r="AL54" i="23"/>
  <c r="AL55" i="23"/>
  <c r="AL56" i="23"/>
  <c r="AL57" i="23"/>
  <c r="AL58" i="23"/>
  <c r="AL59" i="23"/>
  <c r="AL60" i="23"/>
  <c r="AL61" i="23"/>
  <c r="AL62" i="23"/>
  <c r="AL63" i="23"/>
  <c r="AL64" i="23"/>
  <c r="BB23" i="23"/>
  <c r="BA23" i="23"/>
  <c r="AZ23" i="23"/>
  <c r="AQ23" i="23" s="1"/>
  <c r="N23" i="23" s="1"/>
  <c r="AY23" i="23"/>
  <c r="AX23" i="23"/>
  <c r="AW23" i="23"/>
  <c r="AV23" i="23"/>
  <c r="AU23" i="23"/>
  <c r="AT23" i="23"/>
  <c r="I22" i="23"/>
  <c r="B24" i="23"/>
  <c r="BG23" i="23"/>
  <c r="BD23" i="23" s="1"/>
  <c r="AS23" i="23"/>
  <c r="AP23" i="23" s="1"/>
  <c r="F23" i="23"/>
  <c r="L23" i="23" s="1"/>
  <c r="M23" i="23" s="1"/>
  <c r="G25" i="10"/>
  <c r="G3" i="11"/>
  <c r="B32" i="3"/>
  <c r="G4" i="11"/>
  <c r="G5" i="11"/>
  <c r="G6" i="11"/>
  <c r="G7" i="11"/>
  <c r="G8" i="11"/>
  <c r="G9" i="11"/>
  <c r="G10" i="11"/>
  <c r="G12" i="11"/>
  <c r="F25" i="10"/>
  <c r="AA13" i="27" l="1"/>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AA53" i="27"/>
  <c r="AA13" i="26"/>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AA53" i="26"/>
  <c r="AA13" i="25"/>
  <c r="AA14" i="25"/>
  <c r="AA15" i="25"/>
  <c r="AA16" i="25"/>
  <c r="AA17" i="25"/>
  <c r="AA18" i="25"/>
  <c r="AA19" i="25"/>
  <c r="AA20" i="25"/>
  <c r="AA21" i="25"/>
  <c r="AA22" i="25"/>
  <c r="AA23" i="25"/>
  <c r="AA24" i="25"/>
  <c r="AA25" i="25"/>
  <c r="AA26" i="25"/>
  <c r="AA27" i="25"/>
  <c r="AA28" i="25"/>
  <c r="AA29" i="25"/>
  <c r="AA30" i="25"/>
  <c r="AA31" i="25"/>
  <c r="AA32" i="25"/>
  <c r="AA33" i="25"/>
  <c r="AA34" i="25"/>
  <c r="AA35" i="25"/>
  <c r="AA36" i="25"/>
  <c r="AA37" i="25"/>
  <c r="AA38" i="25"/>
  <c r="AA39" i="25"/>
  <c r="AA40" i="25"/>
  <c r="AA41" i="25"/>
  <c r="AA42" i="25"/>
  <c r="AA43" i="25"/>
  <c r="AA44" i="25"/>
  <c r="AA45" i="25"/>
  <c r="AA46" i="25"/>
  <c r="AA47" i="25"/>
  <c r="AA48" i="25"/>
  <c r="AA49" i="25"/>
  <c r="AA50" i="25"/>
  <c r="AA51" i="25"/>
  <c r="AA52" i="25"/>
  <c r="AA53" i="25"/>
  <c r="AA13" i="24"/>
  <c r="AA14" i="24"/>
  <c r="AA15" i="24"/>
  <c r="AA16" i="24"/>
  <c r="AA17" i="24"/>
  <c r="AA18" i="24"/>
  <c r="AA19" i="24"/>
  <c r="AA20" i="24"/>
  <c r="AA21" i="24"/>
  <c r="AA22" i="24"/>
  <c r="AA23" i="24"/>
  <c r="AA24" i="24"/>
  <c r="AA25" i="24"/>
  <c r="AA26" i="24"/>
  <c r="AA27" i="24"/>
  <c r="AA28" i="24"/>
  <c r="AA29" i="24"/>
  <c r="AA30" i="24"/>
  <c r="AA31" i="24"/>
  <c r="AA32" i="24"/>
  <c r="AA33" i="24"/>
  <c r="AA34" i="24"/>
  <c r="AA35" i="24"/>
  <c r="AA36" i="24"/>
  <c r="AA37" i="24"/>
  <c r="AA38" i="24"/>
  <c r="AA39" i="24"/>
  <c r="AA40" i="24"/>
  <c r="AA41" i="24"/>
  <c r="AA42" i="24"/>
  <c r="AA43" i="24"/>
  <c r="AA44" i="24"/>
  <c r="AA45" i="24"/>
  <c r="AA46" i="24"/>
  <c r="AA47" i="24"/>
  <c r="AA48" i="24"/>
  <c r="AA49" i="24"/>
  <c r="AA50" i="24"/>
  <c r="AA51" i="24"/>
  <c r="AA52" i="24"/>
  <c r="AA53" i="24"/>
  <c r="BB39" i="27"/>
  <c r="BA39" i="27"/>
  <c r="AZ39" i="27"/>
  <c r="AQ39" i="27" s="1"/>
  <c r="N39" i="27" s="1"/>
  <c r="AY39" i="27"/>
  <c r="AX39" i="27"/>
  <c r="AW39" i="27"/>
  <c r="AV39" i="27"/>
  <c r="AU39" i="27"/>
  <c r="AT39" i="27"/>
  <c r="X36" i="27"/>
  <c r="S38" i="27"/>
  <c r="T38" i="27"/>
  <c r="E38" i="27" s="1"/>
  <c r="H38" i="27" s="1"/>
  <c r="K38" i="27" s="1"/>
  <c r="I38" i="27"/>
  <c r="B40" i="27"/>
  <c r="BG39" i="27"/>
  <c r="BD39" i="27" s="1"/>
  <c r="AS39" i="27"/>
  <c r="AP39" i="27" s="1"/>
  <c r="V39" i="27"/>
  <c r="F39" i="27"/>
  <c r="L39" i="27" s="1"/>
  <c r="M39" i="27" s="1"/>
  <c r="A39" i="27"/>
  <c r="U37" i="27"/>
  <c r="W37" i="27" s="1"/>
  <c r="BB39" i="26"/>
  <c r="BA39" i="26"/>
  <c r="AZ39" i="26"/>
  <c r="AQ39" i="26" s="1"/>
  <c r="N39" i="26" s="1"/>
  <c r="AY39" i="26"/>
  <c r="AX39" i="26"/>
  <c r="AW39" i="26"/>
  <c r="AV39" i="26"/>
  <c r="AU39" i="26"/>
  <c r="AT39" i="26"/>
  <c r="X36" i="26"/>
  <c r="S38" i="26"/>
  <c r="T38" i="26"/>
  <c r="E38" i="26" s="1"/>
  <c r="H38" i="26" s="1"/>
  <c r="K38" i="26" s="1"/>
  <c r="I38" i="26"/>
  <c r="B40" i="26"/>
  <c r="BG39" i="26"/>
  <c r="BD39" i="26" s="1"/>
  <c r="AS39" i="26"/>
  <c r="AP39" i="26" s="1"/>
  <c r="V39" i="26"/>
  <c r="F39" i="26"/>
  <c r="L39" i="26" s="1"/>
  <c r="M39" i="26" s="1"/>
  <c r="A39" i="26"/>
  <c r="U37" i="26"/>
  <c r="W37" i="26" s="1"/>
  <c r="BB39" i="25"/>
  <c r="BA39" i="25"/>
  <c r="AZ39" i="25"/>
  <c r="AQ39" i="25" s="1"/>
  <c r="N39" i="25" s="1"/>
  <c r="AY39" i="25"/>
  <c r="AX39" i="25"/>
  <c r="AW39" i="25"/>
  <c r="AV39" i="25"/>
  <c r="AU39" i="25"/>
  <c r="AT39" i="25"/>
  <c r="X36" i="25"/>
  <c r="S38" i="25"/>
  <c r="T38" i="25"/>
  <c r="E38" i="25" s="1"/>
  <c r="H38" i="25" s="1"/>
  <c r="K38" i="25" s="1"/>
  <c r="I38" i="25"/>
  <c r="B40" i="25"/>
  <c r="BG39" i="25"/>
  <c r="BD39" i="25" s="1"/>
  <c r="AS39" i="25"/>
  <c r="AP39" i="25" s="1"/>
  <c r="V39" i="25"/>
  <c r="F39" i="25"/>
  <c r="L39" i="25" s="1"/>
  <c r="M39" i="25" s="1"/>
  <c r="A39" i="25"/>
  <c r="U37" i="25"/>
  <c r="W37" i="25" s="1"/>
  <c r="BB39" i="24"/>
  <c r="BA39" i="24"/>
  <c r="AZ39" i="24"/>
  <c r="AQ39" i="24" s="1"/>
  <c r="N39" i="24" s="1"/>
  <c r="AY39" i="24"/>
  <c r="AX39" i="24"/>
  <c r="AW39" i="24"/>
  <c r="AV39" i="24"/>
  <c r="AU39" i="24"/>
  <c r="AT39" i="24"/>
  <c r="X36" i="24"/>
  <c r="S38" i="24"/>
  <c r="T38" i="24"/>
  <c r="E38" i="24" s="1"/>
  <c r="H38" i="24" s="1"/>
  <c r="K38" i="24" s="1"/>
  <c r="I38" i="24"/>
  <c r="B40" i="24"/>
  <c r="BG39" i="24"/>
  <c r="BD39" i="24" s="1"/>
  <c r="AS39" i="24"/>
  <c r="AP39" i="24" s="1"/>
  <c r="V39" i="24"/>
  <c r="F39" i="24"/>
  <c r="L39" i="24" s="1"/>
  <c r="M39" i="24" s="1"/>
  <c r="A39" i="24"/>
  <c r="U37" i="24"/>
  <c r="W37" i="24" s="1"/>
  <c r="Y12" i="23"/>
  <c r="AM31" i="23"/>
  <c r="AN31" i="23"/>
  <c r="X11" i="23"/>
  <c r="X12" i="23" s="1"/>
  <c r="Z12" i="23" s="1"/>
  <c r="BB24" i="23"/>
  <c r="BA24" i="23"/>
  <c r="AZ24" i="23"/>
  <c r="AQ24" i="23" s="1"/>
  <c r="N24" i="23" s="1"/>
  <c r="AY24" i="23"/>
  <c r="AX24" i="23"/>
  <c r="AW24" i="23"/>
  <c r="AV24" i="23"/>
  <c r="AU24" i="23"/>
  <c r="AT24" i="23"/>
  <c r="T23" i="23"/>
  <c r="E23" i="23" s="1"/>
  <c r="H23" i="23" s="1"/>
  <c r="K23" i="23" s="1"/>
  <c r="I23" i="23"/>
  <c r="B25" i="23"/>
  <c r="BG24" i="23"/>
  <c r="BD24" i="23" s="1"/>
  <c r="AS24" i="23"/>
  <c r="AP24" i="23" s="1"/>
  <c r="F24" i="23"/>
  <c r="L24" i="23" s="1"/>
  <c r="M24" i="23" s="1"/>
  <c r="G26" i="10"/>
  <c r="F26" i="10"/>
  <c r="B25" i="10"/>
  <c r="D53" i="27" l="1"/>
  <c r="D52" i="27"/>
  <c r="D51" i="27"/>
  <c r="D50" i="27"/>
  <c r="D49" i="27"/>
  <c r="D48" i="27"/>
  <c r="D47" i="27"/>
  <c r="D46" i="27"/>
  <c r="D45" i="27"/>
  <c r="D44" i="27"/>
  <c r="D43" i="27"/>
  <c r="D42" i="27"/>
  <c r="D41" i="27"/>
  <c r="D40" i="27"/>
  <c r="D39" i="27"/>
  <c r="G39" i="27" s="1"/>
  <c r="J39" i="27" s="1"/>
  <c r="D38" i="27"/>
  <c r="G38" i="27" s="1"/>
  <c r="J38" i="27" s="1"/>
  <c r="D37" i="27"/>
  <c r="G37" i="27" s="1"/>
  <c r="J37" i="27" s="1"/>
  <c r="Q37" i="27" s="1"/>
  <c r="D36" i="27"/>
  <c r="G36" i="27" s="1"/>
  <c r="J36" i="27" s="1"/>
  <c r="Q36" i="27" s="1"/>
  <c r="D35" i="27"/>
  <c r="G35" i="27" s="1"/>
  <c r="J35" i="27" s="1"/>
  <c r="Q35" i="27" s="1"/>
  <c r="D34" i="27"/>
  <c r="G34" i="27" s="1"/>
  <c r="J34" i="27" s="1"/>
  <c r="Q34" i="27" s="1"/>
  <c r="D33" i="27"/>
  <c r="G33" i="27" s="1"/>
  <c r="J33" i="27" s="1"/>
  <c r="Q33" i="27" s="1"/>
  <c r="D32" i="27"/>
  <c r="G32" i="27" s="1"/>
  <c r="J32" i="27" s="1"/>
  <c r="Q32" i="27" s="1"/>
  <c r="D31" i="27"/>
  <c r="G31" i="27" s="1"/>
  <c r="J31" i="27" s="1"/>
  <c r="Q31" i="27" s="1"/>
  <c r="D30" i="27"/>
  <c r="G30" i="27" s="1"/>
  <c r="J30" i="27" s="1"/>
  <c r="Q30" i="27" s="1"/>
  <c r="D29" i="27"/>
  <c r="G29" i="27" s="1"/>
  <c r="J29" i="27" s="1"/>
  <c r="Q29" i="27" s="1"/>
  <c r="D28" i="27"/>
  <c r="G28" i="27" s="1"/>
  <c r="J28" i="27" s="1"/>
  <c r="Q28" i="27" s="1"/>
  <c r="D27" i="27"/>
  <c r="G27" i="27" s="1"/>
  <c r="J27" i="27" s="1"/>
  <c r="Q27" i="27" s="1"/>
  <c r="D26" i="27"/>
  <c r="G26" i="27" s="1"/>
  <c r="J26" i="27" s="1"/>
  <c r="Q26" i="27" s="1"/>
  <c r="D25" i="27"/>
  <c r="G25" i="27" s="1"/>
  <c r="J25" i="27" s="1"/>
  <c r="Q25" i="27" s="1"/>
  <c r="D24" i="27"/>
  <c r="G24" i="27" s="1"/>
  <c r="J24" i="27" s="1"/>
  <c r="Q24" i="27" s="1"/>
  <c r="D23" i="27"/>
  <c r="G23" i="27" s="1"/>
  <c r="J23" i="27" s="1"/>
  <c r="Q23" i="27" s="1"/>
  <c r="D22" i="27"/>
  <c r="G22" i="27" s="1"/>
  <c r="J22" i="27" s="1"/>
  <c r="Q22" i="27" s="1"/>
  <c r="D21" i="27"/>
  <c r="G21" i="27" s="1"/>
  <c r="J21" i="27" s="1"/>
  <c r="Q21" i="27" s="1"/>
  <c r="D20" i="27"/>
  <c r="G20" i="27" s="1"/>
  <c r="J20" i="27" s="1"/>
  <c r="Q20" i="27" s="1"/>
  <c r="D19" i="27"/>
  <c r="G19" i="27" s="1"/>
  <c r="J19" i="27" s="1"/>
  <c r="Q19" i="27" s="1"/>
  <c r="D18" i="27"/>
  <c r="G18" i="27" s="1"/>
  <c r="J18" i="27" s="1"/>
  <c r="Q18" i="27" s="1"/>
  <c r="D17" i="27"/>
  <c r="G17" i="27" s="1"/>
  <c r="J17" i="27" s="1"/>
  <c r="Q17" i="27" s="1"/>
  <c r="D16" i="27"/>
  <c r="G16" i="27" s="1"/>
  <c r="J16" i="27" s="1"/>
  <c r="Q16" i="27" s="1"/>
  <c r="D15" i="27"/>
  <c r="G15" i="27" s="1"/>
  <c r="J15" i="27" s="1"/>
  <c r="Q15" i="27" s="1"/>
  <c r="D14" i="27"/>
  <c r="G14" i="27" s="1"/>
  <c r="J14" i="27" s="1"/>
  <c r="Q14" i="27" s="1"/>
  <c r="D13" i="27"/>
  <c r="G13" i="27" s="1"/>
  <c r="J13" i="27" s="1"/>
  <c r="Q13" i="27" s="1"/>
  <c r="D53" i="26"/>
  <c r="D52" i="26"/>
  <c r="D51" i="26"/>
  <c r="D50" i="26"/>
  <c r="D49" i="26"/>
  <c r="D48" i="26"/>
  <c r="D47" i="26"/>
  <c r="D46" i="26"/>
  <c r="D45" i="26"/>
  <c r="D44" i="26"/>
  <c r="D43" i="26"/>
  <c r="D42" i="26"/>
  <c r="D41" i="26"/>
  <c r="D40" i="26"/>
  <c r="D39" i="26"/>
  <c r="G39" i="26" s="1"/>
  <c r="J39" i="26" s="1"/>
  <c r="D38" i="26"/>
  <c r="G38" i="26" s="1"/>
  <c r="J38" i="26" s="1"/>
  <c r="D37" i="26"/>
  <c r="G37" i="26" s="1"/>
  <c r="J37" i="26" s="1"/>
  <c r="Q37" i="26" s="1"/>
  <c r="D36" i="26"/>
  <c r="G36" i="26" s="1"/>
  <c r="J36" i="26" s="1"/>
  <c r="Q36" i="26" s="1"/>
  <c r="D35" i="26"/>
  <c r="G35" i="26" s="1"/>
  <c r="J35" i="26" s="1"/>
  <c r="Q35" i="26" s="1"/>
  <c r="D34" i="26"/>
  <c r="G34" i="26" s="1"/>
  <c r="J34" i="26" s="1"/>
  <c r="Q34" i="26" s="1"/>
  <c r="D33" i="26"/>
  <c r="G33" i="26" s="1"/>
  <c r="J33" i="26" s="1"/>
  <c r="Q33" i="26" s="1"/>
  <c r="D32" i="26"/>
  <c r="G32" i="26" s="1"/>
  <c r="J32" i="26" s="1"/>
  <c r="Q32" i="26" s="1"/>
  <c r="D31" i="26"/>
  <c r="G31" i="26" s="1"/>
  <c r="J31" i="26" s="1"/>
  <c r="Q31" i="26" s="1"/>
  <c r="D30" i="26"/>
  <c r="G30" i="26" s="1"/>
  <c r="J30" i="26" s="1"/>
  <c r="Q30" i="26" s="1"/>
  <c r="D29" i="26"/>
  <c r="G29" i="26" s="1"/>
  <c r="J29" i="26" s="1"/>
  <c r="Q29" i="26" s="1"/>
  <c r="D28" i="26"/>
  <c r="G28" i="26" s="1"/>
  <c r="J28" i="26" s="1"/>
  <c r="Q28" i="26" s="1"/>
  <c r="D27" i="26"/>
  <c r="G27" i="26" s="1"/>
  <c r="J27" i="26" s="1"/>
  <c r="Q27" i="26" s="1"/>
  <c r="D26" i="26"/>
  <c r="G26" i="26" s="1"/>
  <c r="J26" i="26" s="1"/>
  <c r="Q26" i="26" s="1"/>
  <c r="D25" i="26"/>
  <c r="G25" i="26" s="1"/>
  <c r="J25" i="26" s="1"/>
  <c r="Q25" i="26" s="1"/>
  <c r="D24" i="26"/>
  <c r="G24" i="26" s="1"/>
  <c r="J24" i="26" s="1"/>
  <c r="Q24" i="26" s="1"/>
  <c r="D23" i="26"/>
  <c r="G23" i="26" s="1"/>
  <c r="J23" i="26" s="1"/>
  <c r="Q23" i="26" s="1"/>
  <c r="D22" i="26"/>
  <c r="G22" i="26" s="1"/>
  <c r="J22" i="26" s="1"/>
  <c r="Q22" i="26" s="1"/>
  <c r="D21" i="26"/>
  <c r="G21" i="26" s="1"/>
  <c r="J21" i="26" s="1"/>
  <c r="Q21" i="26" s="1"/>
  <c r="D20" i="26"/>
  <c r="G20" i="26" s="1"/>
  <c r="J20" i="26" s="1"/>
  <c r="Q20" i="26" s="1"/>
  <c r="D19" i="26"/>
  <c r="G19" i="26" s="1"/>
  <c r="J19" i="26" s="1"/>
  <c r="Q19" i="26" s="1"/>
  <c r="D18" i="26"/>
  <c r="G18" i="26" s="1"/>
  <c r="J18" i="26" s="1"/>
  <c r="Q18" i="26" s="1"/>
  <c r="D17" i="26"/>
  <c r="G17" i="26" s="1"/>
  <c r="J17" i="26" s="1"/>
  <c r="Q17" i="26" s="1"/>
  <c r="D16" i="26"/>
  <c r="G16" i="26" s="1"/>
  <c r="J16" i="26" s="1"/>
  <c r="Q16" i="26" s="1"/>
  <c r="D15" i="26"/>
  <c r="G15" i="26" s="1"/>
  <c r="J15" i="26" s="1"/>
  <c r="Q15" i="26" s="1"/>
  <c r="D14" i="26"/>
  <c r="G14" i="26" s="1"/>
  <c r="J14" i="26" s="1"/>
  <c r="Q14" i="26" s="1"/>
  <c r="D13" i="26"/>
  <c r="G13" i="26" s="1"/>
  <c r="J13" i="26" s="1"/>
  <c r="Q13" i="26" s="1"/>
  <c r="D53" i="25"/>
  <c r="D52" i="25"/>
  <c r="D51" i="25"/>
  <c r="D50" i="25"/>
  <c r="D49" i="25"/>
  <c r="D48" i="25"/>
  <c r="D47" i="25"/>
  <c r="D46" i="25"/>
  <c r="D45" i="25"/>
  <c r="D44" i="25"/>
  <c r="D43" i="25"/>
  <c r="D42" i="25"/>
  <c r="D41" i="25"/>
  <c r="D40" i="25"/>
  <c r="D39" i="25"/>
  <c r="G39" i="25" s="1"/>
  <c r="J39" i="25" s="1"/>
  <c r="D38" i="25"/>
  <c r="G38" i="25" s="1"/>
  <c r="J38" i="25" s="1"/>
  <c r="D37" i="25"/>
  <c r="G37" i="25" s="1"/>
  <c r="J37" i="25" s="1"/>
  <c r="Q37" i="25" s="1"/>
  <c r="D36" i="25"/>
  <c r="G36" i="25" s="1"/>
  <c r="J36" i="25" s="1"/>
  <c r="Q36" i="25" s="1"/>
  <c r="D35" i="25"/>
  <c r="G35" i="25" s="1"/>
  <c r="J35" i="25" s="1"/>
  <c r="Q35" i="25" s="1"/>
  <c r="D34" i="25"/>
  <c r="G34" i="25" s="1"/>
  <c r="J34" i="25" s="1"/>
  <c r="Q34" i="25" s="1"/>
  <c r="D33" i="25"/>
  <c r="G33" i="25" s="1"/>
  <c r="J33" i="25" s="1"/>
  <c r="Q33" i="25" s="1"/>
  <c r="D32" i="25"/>
  <c r="G32" i="25" s="1"/>
  <c r="J32" i="25" s="1"/>
  <c r="Q32" i="25" s="1"/>
  <c r="D31" i="25"/>
  <c r="G31" i="25" s="1"/>
  <c r="J31" i="25" s="1"/>
  <c r="Q31" i="25" s="1"/>
  <c r="D30" i="25"/>
  <c r="G30" i="25" s="1"/>
  <c r="J30" i="25" s="1"/>
  <c r="Q30" i="25" s="1"/>
  <c r="D29" i="25"/>
  <c r="G29" i="25" s="1"/>
  <c r="J29" i="25" s="1"/>
  <c r="Q29" i="25" s="1"/>
  <c r="D28" i="25"/>
  <c r="G28" i="25" s="1"/>
  <c r="J28" i="25" s="1"/>
  <c r="Q28" i="25" s="1"/>
  <c r="D27" i="25"/>
  <c r="G27" i="25" s="1"/>
  <c r="J27" i="25" s="1"/>
  <c r="Q27" i="25" s="1"/>
  <c r="D26" i="25"/>
  <c r="G26" i="25" s="1"/>
  <c r="J26" i="25" s="1"/>
  <c r="Q26" i="25" s="1"/>
  <c r="D25" i="25"/>
  <c r="G25" i="25" s="1"/>
  <c r="J25" i="25" s="1"/>
  <c r="Q25" i="25" s="1"/>
  <c r="D24" i="25"/>
  <c r="G24" i="25" s="1"/>
  <c r="J24" i="25" s="1"/>
  <c r="Q24" i="25" s="1"/>
  <c r="D23" i="25"/>
  <c r="G23" i="25" s="1"/>
  <c r="J23" i="25" s="1"/>
  <c r="Q23" i="25" s="1"/>
  <c r="D22" i="25"/>
  <c r="G22" i="25" s="1"/>
  <c r="J22" i="25" s="1"/>
  <c r="Q22" i="25" s="1"/>
  <c r="D21" i="25"/>
  <c r="G21" i="25" s="1"/>
  <c r="J21" i="25" s="1"/>
  <c r="Q21" i="25" s="1"/>
  <c r="D20" i="25"/>
  <c r="G20" i="25" s="1"/>
  <c r="J20" i="25" s="1"/>
  <c r="Q20" i="25" s="1"/>
  <c r="D19" i="25"/>
  <c r="G19" i="25" s="1"/>
  <c r="J19" i="25" s="1"/>
  <c r="Q19" i="25" s="1"/>
  <c r="D18" i="25"/>
  <c r="G18" i="25" s="1"/>
  <c r="J18" i="25" s="1"/>
  <c r="Q18" i="25" s="1"/>
  <c r="D17" i="25"/>
  <c r="G17" i="25" s="1"/>
  <c r="J17" i="25" s="1"/>
  <c r="Q17" i="25" s="1"/>
  <c r="D16" i="25"/>
  <c r="G16" i="25" s="1"/>
  <c r="J16" i="25" s="1"/>
  <c r="Q16" i="25" s="1"/>
  <c r="D15" i="25"/>
  <c r="G15" i="25" s="1"/>
  <c r="J15" i="25" s="1"/>
  <c r="Q15" i="25" s="1"/>
  <c r="D14" i="25"/>
  <c r="G14" i="25" s="1"/>
  <c r="J14" i="25" s="1"/>
  <c r="Q14" i="25" s="1"/>
  <c r="D13" i="25"/>
  <c r="G13" i="25" s="1"/>
  <c r="J13" i="25" s="1"/>
  <c r="Q13" i="25" s="1"/>
  <c r="D53" i="24"/>
  <c r="D52" i="24"/>
  <c r="D51" i="24"/>
  <c r="D50" i="24"/>
  <c r="D49" i="24"/>
  <c r="D48" i="24"/>
  <c r="D47" i="24"/>
  <c r="D46" i="24"/>
  <c r="D45" i="24"/>
  <c r="D44" i="24"/>
  <c r="D43" i="24"/>
  <c r="D42" i="24"/>
  <c r="D41" i="24"/>
  <c r="D40" i="24"/>
  <c r="D39" i="24"/>
  <c r="G39" i="24" s="1"/>
  <c r="J39" i="24" s="1"/>
  <c r="D38" i="24"/>
  <c r="G38" i="24" s="1"/>
  <c r="J38" i="24" s="1"/>
  <c r="D37" i="24"/>
  <c r="G37" i="24" s="1"/>
  <c r="J37" i="24" s="1"/>
  <c r="Q37" i="24" s="1"/>
  <c r="D36" i="24"/>
  <c r="G36" i="24" s="1"/>
  <c r="J36" i="24" s="1"/>
  <c r="Q36" i="24" s="1"/>
  <c r="D35" i="24"/>
  <c r="G35" i="24" s="1"/>
  <c r="J35" i="24" s="1"/>
  <c r="Q35" i="24" s="1"/>
  <c r="D34" i="24"/>
  <c r="G34" i="24" s="1"/>
  <c r="J34" i="24" s="1"/>
  <c r="Q34" i="24" s="1"/>
  <c r="D33" i="24"/>
  <c r="G33" i="24" s="1"/>
  <c r="J33" i="24" s="1"/>
  <c r="Q33" i="24" s="1"/>
  <c r="D32" i="24"/>
  <c r="G32" i="24" s="1"/>
  <c r="J32" i="24" s="1"/>
  <c r="Q32" i="24" s="1"/>
  <c r="D31" i="24"/>
  <c r="G31" i="24" s="1"/>
  <c r="J31" i="24" s="1"/>
  <c r="Q31" i="24" s="1"/>
  <c r="D30" i="24"/>
  <c r="G30" i="24" s="1"/>
  <c r="J30" i="24" s="1"/>
  <c r="Q30" i="24" s="1"/>
  <c r="D29" i="24"/>
  <c r="G29" i="24" s="1"/>
  <c r="J29" i="24" s="1"/>
  <c r="Q29" i="24" s="1"/>
  <c r="D28" i="24"/>
  <c r="G28" i="24" s="1"/>
  <c r="J28" i="24" s="1"/>
  <c r="Q28" i="24" s="1"/>
  <c r="D27" i="24"/>
  <c r="G27" i="24" s="1"/>
  <c r="J27" i="24" s="1"/>
  <c r="Q27" i="24" s="1"/>
  <c r="D26" i="24"/>
  <c r="G26" i="24" s="1"/>
  <c r="J26" i="24" s="1"/>
  <c r="Q26" i="24" s="1"/>
  <c r="D25" i="24"/>
  <c r="G25" i="24" s="1"/>
  <c r="J25" i="24" s="1"/>
  <c r="Q25" i="24" s="1"/>
  <c r="D24" i="24"/>
  <c r="G24" i="24" s="1"/>
  <c r="J24" i="24" s="1"/>
  <c r="Q24" i="24" s="1"/>
  <c r="D23" i="24"/>
  <c r="G23" i="24" s="1"/>
  <c r="J23" i="24" s="1"/>
  <c r="Q23" i="24" s="1"/>
  <c r="D22" i="24"/>
  <c r="G22" i="24" s="1"/>
  <c r="J22" i="24" s="1"/>
  <c r="Q22" i="24" s="1"/>
  <c r="D21" i="24"/>
  <c r="G21" i="24" s="1"/>
  <c r="J21" i="24" s="1"/>
  <c r="Q21" i="24" s="1"/>
  <c r="D20" i="24"/>
  <c r="G20" i="24" s="1"/>
  <c r="J20" i="24" s="1"/>
  <c r="Q20" i="24" s="1"/>
  <c r="D19" i="24"/>
  <c r="G19" i="24" s="1"/>
  <c r="J19" i="24" s="1"/>
  <c r="Q19" i="24" s="1"/>
  <c r="D18" i="24"/>
  <c r="G18" i="24" s="1"/>
  <c r="J18" i="24" s="1"/>
  <c r="Q18" i="24" s="1"/>
  <c r="D17" i="24"/>
  <c r="G17" i="24" s="1"/>
  <c r="J17" i="24" s="1"/>
  <c r="Q17" i="24" s="1"/>
  <c r="D16" i="24"/>
  <c r="G16" i="24" s="1"/>
  <c r="J16" i="24" s="1"/>
  <c r="Q16" i="24" s="1"/>
  <c r="D15" i="24"/>
  <c r="G15" i="24" s="1"/>
  <c r="J15" i="24" s="1"/>
  <c r="Q15" i="24" s="1"/>
  <c r="D14" i="24"/>
  <c r="G14" i="24" s="1"/>
  <c r="J14" i="24" s="1"/>
  <c r="Q14" i="24" s="1"/>
  <c r="D13" i="24"/>
  <c r="G13" i="24" s="1"/>
  <c r="J13" i="24" s="1"/>
  <c r="Q13" i="24" s="1"/>
  <c r="Y37" i="24"/>
  <c r="Q38" i="24"/>
  <c r="Y37" i="25"/>
  <c r="Q38" i="25"/>
  <c r="Y37" i="26"/>
  <c r="Q38" i="26"/>
  <c r="Y37" i="27"/>
  <c r="Q38" i="27"/>
  <c r="BB40" i="27"/>
  <c r="BA40" i="27"/>
  <c r="AZ40" i="27"/>
  <c r="AQ40" i="27" s="1"/>
  <c r="N40" i="27" s="1"/>
  <c r="AY40" i="27"/>
  <c r="AX40" i="27"/>
  <c r="AW40" i="27"/>
  <c r="AV40" i="27"/>
  <c r="AU40" i="27"/>
  <c r="AT40" i="27"/>
  <c r="S39" i="27"/>
  <c r="T39" i="27"/>
  <c r="E39" i="27" s="1"/>
  <c r="H39" i="27" s="1"/>
  <c r="K39" i="27" s="1"/>
  <c r="I39" i="27"/>
  <c r="Q39" i="27" s="1"/>
  <c r="B41" i="27"/>
  <c r="BG40" i="27"/>
  <c r="BD40" i="27" s="1"/>
  <c r="AS40" i="27"/>
  <c r="AP40" i="27" s="1"/>
  <c r="V40" i="27"/>
  <c r="G40" i="27"/>
  <c r="J40" i="27" s="1"/>
  <c r="F40" i="27"/>
  <c r="L40" i="27" s="1"/>
  <c r="M40" i="27" s="1"/>
  <c r="A40" i="27"/>
  <c r="U38" i="27"/>
  <c r="W38" i="27" s="1"/>
  <c r="Y38" i="27" s="1"/>
  <c r="X37" i="27"/>
  <c r="BB40" i="26"/>
  <c r="BA40" i="26"/>
  <c r="AZ40" i="26"/>
  <c r="AQ40" i="26" s="1"/>
  <c r="N40" i="26" s="1"/>
  <c r="AY40" i="26"/>
  <c r="AX40" i="26"/>
  <c r="AW40" i="26"/>
  <c r="AV40" i="26"/>
  <c r="AU40" i="26"/>
  <c r="AT40" i="26"/>
  <c r="S39" i="26"/>
  <c r="T39" i="26"/>
  <c r="E39" i="26" s="1"/>
  <c r="H39" i="26" s="1"/>
  <c r="K39" i="26" s="1"/>
  <c r="I39" i="26"/>
  <c r="Q39" i="26" s="1"/>
  <c r="B41" i="26"/>
  <c r="BG40" i="26"/>
  <c r="BD40" i="26" s="1"/>
  <c r="AS40" i="26"/>
  <c r="AP40" i="26" s="1"/>
  <c r="V40" i="26"/>
  <c r="G40" i="26"/>
  <c r="J40" i="26" s="1"/>
  <c r="F40" i="26"/>
  <c r="L40" i="26" s="1"/>
  <c r="M40" i="26" s="1"/>
  <c r="A40" i="26"/>
  <c r="U38" i="26"/>
  <c r="W38" i="26" s="1"/>
  <c r="Y38" i="26" s="1"/>
  <c r="X37" i="26"/>
  <c r="BB40" i="25"/>
  <c r="BA40" i="25"/>
  <c r="AZ40" i="25"/>
  <c r="AQ40" i="25" s="1"/>
  <c r="N40" i="25" s="1"/>
  <c r="AY40" i="25"/>
  <c r="AX40" i="25"/>
  <c r="AW40" i="25"/>
  <c r="AV40" i="25"/>
  <c r="AU40" i="25"/>
  <c r="AT40" i="25"/>
  <c r="S39" i="25"/>
  <c r="T39" i="25"/>
  <c r="E39" i="25" s="1"/>
  <c r="H39" i="25" s="1"/>
  <c r="K39" i="25" s="1"/>
  <c r="I39" i="25"/>
  <c r="Q39" i="25" s="1"/>
  <c r="B41" i="25"/>
  <c r="BG40" i="25"/>
  <c r="BD40" i="25" s="1"/>
  <c r="AS40" i="25"/>
  <c r="AP40" i="25" s="1"/>
  <c r="V40" i="25"/>
  <c r="G40" i="25"/>
  <c r="J40" i="25" s="1"/>
  <c r="F40" i="25"/>
  <c r="L40" i="25" s="1"/>
  <c r="M40" i="25" s="1"/>
  <c r="A40" i="25"/>
  <c r="U38" i="25"/>
  <c r="W38" i="25" s="1"/>
  <c r="Y38" i="25" s="1"/>
  <c r="X37" i="25"/>
  <c r="BB40" i="24"/>
  <c r="BA40" i="24"/>
  <c r="AZ40" i="24"/>
  <c r="AQ40" i="24" s="1"/>
  <c r="N40" i="24" s="1"/>
  <c r="AY40" i="24"/>
  <c r="AX40" i="24"/>
  <c r="AW40" i="24"/>
  <c r="AV40" i="24"/>
  <c r="AU40" i="24"/>
  <c r="AT40" i="24"/>
  <c r="S39" i="24"/>
  <c r="T39" i="24"/>
  <c r="E39" i="24" s="1"/>
  <c r="H39" i="24" s="1"/>
  <c r="K39" i="24" s="1"/>
  <c r="I39" i="24"/>
  <c r="Q39" i="24" s="1"/>
  <c r="B41" i="24"/>
  <c r="BG40" i="24"/>
  <c r="BD40" i="24" s="1"/>
  <c r="AS40" i="24"/>
  <c r="AP40" i="24" s="1"/>
  <c r="V40" i="24"/>
  <c r="G40" i="24"/>
  <c r="J40" i="24" s="1"/>
  <c r="F40" i="24"/>
  <c r="L40" i="24" s="1"/>
  <c r="M40" i="24" s="1"/>
  <c r="A40" i="24"/>
  <c r="U38" i="24"/>
  <c r="W38" i="24" s="1"/>
  <c r="Y38" i="24" s="1"/>
  <c r="X37" i="24"/>
  <c r="D16" i="23"/>
  <c r="G16" i="23" s="1"/>
  <c r="J16" i="23" s="1"/>
  <c r="Q16" i="23" s="1"/>
  <c r="D17" i="23"/>
  <c r="G17" i="23" s="1"/>
  <c r="J17" i="23" s="1"/>
  <c r="Q17" i="23" s="1"/>
  <c r="D18" i="23"/>
  <c r="G18" i="23" s="1"/>
  <c r="J18" i="23" s="1"/>
  <c r="Q18" i="23" s="1"/>
  <c r="D19" i="23"/>
  <c r="G19" i="23" s="1"/>
  <c r="J19" i="23" s="1"/>
  <c r="Q19" i="23" s="1"/>
  <c r="D20" i="23"/>
  <c r="G20" i="23" s="1"/>
  <c r="J20" i="23" s="1"/>
  <c r="D21" i="23"/>
  <c r="G21" i="23" s="1"/>
  <c r="J21" i="23" s="1"/>
  <c r="Q21" i="23" s="1"/>
  <c r="D22" i="23"/>
  <c r="G22" i="23" s="1"/>
  <c r="J22" i="23" s="1"/>
  <c r="D23" i="23"/>
  <c r="G23" i="23" s="1"/>
  <c r="J23" i="23" s="1"/>
  <c r="D24" i="23"/>
  <c r="G24" i="23" s="1"/>
  <c r="J24" i="23" s="1"/>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15" i="23"/>
  <c r="G15" i="23" s="1"/>
  <c r="J15" i="23" s="1"/>
  <c r="Q15" i="23" s="1"/>
  <c r="D14" i="23"/>
  <c r="G14" i="23" s="1"/>
  <c r="J14" i="23" s="1"/>
  <c r="Q14" i="23" s="1"/>
  <c r="D13" i="23"/>
  <c r="G13" i="23" s="1"/>
  <c r="J13" i="23" s="1"/>
  <c r="Q13" i="23" s="1"/>
  <c r="Q23" i="23"/>
  <c r="AI31" i="23"/>
  <c r="V20" i="23"/>
  <c r="AM32" i="23"/>
  <c r="AN32" i="23"/>
  <c r="AA12" i="23"/>
  <c r="BB25" i="23"/>
  <c r="BA25" i="23"/>
  <c r="AZ25" i="23"/>
  <c r="AQ25" i="23" s="1"/>
  <c r="N25" i="23" s="1"/>
  <c r="AY25" i="23"/>
  <c r="AX25" i="23"/>
  <c r="AW25" i="23"/>
  <c r="AV25" i="23"/>
  <c r="AU25" i="23"/>
  <c r="AT25" i="23"/>
  <c r="I24" i="23"/>
  <c r="B26" i="23"/>
  <c r="BG25" i="23"/>
  <c r="BD25" i="23" s="1"/>
  <c r="AS25" i="23"/>
  <c r="AP25" i="23" s="1"/>
  <c r="G25" i="23"/>
  <c r="J25" i="23" s="1"/>
  <c r="F25" i="23"/>
  <c r="L25" i="23" s="1"/>
  <c r="M25" i="23" s="1"/>
  <c r="G27" i="10"/>
  <c r="F27" i="10"/>
  <c r="B26" i="10"/>
  <c r="R13" i="24" l="1"/>
  <c r="Z13" i="24" s="1"/>
  <c r="AB13" i="24" s="1"/>
  <c r="Y13" i="24"/>
  <c r="R14" i="24"/>
  <c r="Z14" i="24" s="1"/>
  <c r="AB14" i="24" s="1"/>
  <c r="Y14" i="24"/>
  <c r="R15" i="24"/>
  <c r="Z15" i="24" s="1"/>
  <c r="AB15" i="24" s="1"/>
  <c r="Y15" i="24"/>
  <c r="R16" i="24"/>
  <c r="Z16" i="24" s="1"/>
  <c r="AB16" i="24" s="1"/>
  <c r="Y16" i="24"/>
  <c r="R17" i="24"/>
  <c r="Z17" i="24" s="1"/>
  <c r="AB17" i="24" s="1"/>
  <c r="Y17" i="24"/>
  <c r="R18" i="24"/>
  <c r="Z18" i="24" s="1"/>
  <c r="AB18" i="24" s="1"/>
  <c r="Y18" i="24"/>
  <c r="R19" i="24"/>
  <c r="Z19" i="24" s="1"/>
  <c r="AB19" i="24" s="1"/>
  <c r="Y19" i="24"/>
  <c r="R20" i="24"/>
  <c r="Z20" i="24" s="1"/>
  <c r="AB20" i="24" s="1"/>
  <c r="Y20" i="24"/>
  <c r="R21" i="24"/>
  <c r="Z21" i="24" s="1"/>
  <c r="AB21" i="24" s="1"/>
  <c r="Y21" i="24"/>
  <c r="R22" i="24"/>
  <c r="Z22" i="24" s="1"/>
  <c r="AB22" i="24" s="1"/>
  <c r="Y22" i="24"/>
  <c r="R23" i="24"/>
  <c r="Z23" i="24" s="1"/>
  <c r="AB23" i="24" s="1"/>
  <c r="Y23" i="24"/>
  <c r="R24" i="24"/>
  <c r="Z24" i="24" s="1"/>
  <c r="AB24" i="24" s="1"/>
  <c r="Y24" i="24"/>
  <c r="R25" i="24"/>
  <c r="Z25" i="24" s="1"/>
  <c r="AB25" i="24" s="1"/>
  <c r="Y25" i="24"/>
  <c r="R26" i="24"/>
  <c r="Z26" i="24" s="1"/>
  <c r="AB26" i="24" s="1"/>
  <c r="Y26" i="24"/>
  <c r="R27" i="24"/>
  <c r="Z27" i="24" s="1"/>
  <c r="AB27" i="24" s="1"/>
  <c r="Y27" i="24"/>
  <c r="R28" i="24"/>
  <c r="Z28" i="24" s="1"/>
  <c r="AB28" i="24" s="1"/>
  <c r="Y28" i="24"/>
  <c r="R29" i="24"/>
  <c r="Z29" i="24" s="1"/>
  <c r="AB29" i="24" s="1"/>
  <c r="Y29" i="24"/>
  <c r="R30" i="24"/>
  <c r="Z30" i="24" s="1"/>
  <c r="AB30" i="24" s="1"/>
  <c r="Y30" i="24"/>
  <c r="R31" i="24"/>
  <c r="Z31" i="24" s="1"/>
  <c r="AB31" i="24" s="1"/>
  <c r="Y31" i="24"/>
  <c r="R32" i="24"/>
  <c r="Z32" i="24" s="1"/>
  <c r="AB32" i="24" s="1"/>
  <c r="Y32" i="24"/>
  <c r="R33" i="24"/>
  <c r="Z33" i="24" s="1"/>
  <c r="AB33" i="24" s="1"/>
  <c r="Y33" i="24"/>
  <c r="R34" i="24"/>
  <c r="Z34" i="24" s="1"/>
  <c r="AB34" i="24" s="1"/>
  <c r="Y34" i="24"/>
  <c r="R35" i="24"/>
  <c r="Z35" i="24" s="1"/>
  <c r="AB35" i="24" s="1"/>
  <c r="Y35" i="24"/>
  <c r="R36" i="24"/>
  <c r="Z36" i="24" s="1"/>
  <c r="AB36" i="24" s="1"/>
  <c r="Y36" i="24"/>
  <c r="R37" i="24"/>
  <c r="R38" i="24" s="1"/>
  <c r="R39" i="24" s="1"/>
  <c r="R13" i="25"/>
  <c r="Z13" i="25" s="1"/>
  <c r="AB13" i="25" s="1"/>
  <c r="Y13" i="25"/>
  <c r="R14" i="25"/>
  <c r="Z14" i="25" s="1"/>
  <c r="AB14" i="25" s="1"/>
  <c r="Y14" i="25"/>
  <c r="R15" i="25"/>
  <c r="Z15" i="25" s="1"/>
  <c r="AB15" i="25" s="1"/>
  <c r="Y15" i="25"/>
  <c r="R16" i="25"/>
  <c r="Z16" i="25" s="1"/>
  <c r="AB16" i="25" s="1"/>
  <c r="Y16" i="25"/>
  <c r="R17" i="25"/>
  <c r="Z17" i="25" s="1"/>
  <c r="AB17" i="25" s="1"/>
  <c r="Y17" i="25"/>
  <c r="R18" i="25"/>
  <c r="Z18" i="25" s="1"/>
  <c r="AB18" i="25" s="1"/>
  <c r="Y18" i="25"/>
  <c r="R19" i="25"/>
  <c r="Z19" i="25" s="1"/>
  <c r="AB19" i="25" s="1"/>
  <c r="Y19" i="25"/>
  <c r="R20" i="25"/>
  <c r="Z20" i="25" s="1"/>
  <c r="AB20" i="25" s="1"/>
  <c r="Y20" i="25"/>
  <c r="R21" i="25"/>
  <c r="Z21" i="25" s="1"/>
  <c r="AB21" i="25" s="1"/>
  <c r="Y21" i="25"/>
  <c r="R22" i="25"/>
  <c r="Z22" i="25" s="1"/>
  <c r="AB22" i="25" s="1"/>
  <c r="Y22" i="25"/>
  <c r="R23" i="25"/>
  <c r="Z23" i="25" s="1"/>
  <c r="AB23" i="25" s="1"/>
  <c r="Y23" i="25"/>
  <c r="R24" i="25"/>
  <c r="Z24" i="25" s="1"/>
  <c r="AB24" i="25" s="1"/>
  <c r="Y24" i="25"/>
  <c r="R25" i="25"/>
  <c r="Z25" i="25" s="1"/>
  <c r="AB25" i="25" s="1"/>
  <c r="Y25" i="25"/>
  <c r="R26" i="25"/>
  <c r="Z26" i="25" s="1"/>
  <c r="AB26" i="25" s="1"/>
  <c r="Y26" i="25"/>
  <c r="R27" i="25"/>
  <c r="Z27" i="25" s="1"/>
  <c r="AB27" i="25" s="1"/>
  <c r="Y27" i="25"/>
  <c r="R28" i="25"/>
  <c r="Z28" i="25" s="1"/>
  <c r="AB28" i="25" s="1"/>
  <c r="Y28" i="25"/>
  <c r="R29" i="25"/>
  <c r="Z29" i="25" s="1"/>
  <c r="AB29" i="25" s="1"/>
  <c r="Y29" i="25"/>
  <c r="R30" i="25"/>
  <c r="Z30" i="25" s="1"/>
  <c r="AB30" i="25" s="1"/>
  <c r="Y30" i="25"/>
  <c r="R31" i="25"/>
  <c r="Z31" i="25" s="1"/>
  <c r="AB31" i="25" s="1"/>
  <c r="Y31" i="25"/>
  <c r="R32" i="25"/>
  <c r="Z32" i="25" s="1"/>
  <c r="AB32" i="25" s="1"/>
  <c r="Y32" i="25"/>
  <c r="R33" i="25"/>
  <c r="Z33" i="25" s="1"/>
  <c r="AB33" i="25" s="1"/>
  <c r="Y33" i="25"/>
  <c r="R34" i="25"/>
  <c r="Z34" i="25" s="1"/>
  <c r="AB34" i="25" s="1"/>
  <c r="Y34" i="25"/>
  <c r="R35" i="25"/>
  <c r="Z35" i="25" s="1"/>
  <c r="AB35" i="25" s="1"/>
  <c r="Y35" i="25"/>
  <c r="R36" i="25"/>
  <c r="Z36" i="25" s="1"/>
  <c r="AB36" i="25" s="1"/>
  <c r="Y36" i="25"/>
  <c r="R37" i="25"/>
  <c r="R38" i="25" s="1"/>
  <c r="R39" i="25" s="1"/>
  <c r="R13" i="26"/>
  <c r="Z13" i="26" s="1"/>
  <c r="AB13" i="26" s="1"/>
  <c r="Y13" i="26"/>
  <c r="R14" i="26"/>
  <c r="Z14" i="26" s="1"/>
  <c r="AB14" i="26" s="1"/>
  <c r="Y14" i="26"/>
  <c r="R15" i="26"/>
  <c r="Z15" i="26" s="1"/>
  <c r="AB15" i="26" s="1"/>
  <c r="Y15" i="26"/>
  <c r="R16" i="26"/>
  <c r="Z16" i="26" s="1"/>
  <c r="AB16" i="26" s="1"/>
  <c r="Y16" i="26"/>
  <c r="R17" i="26"/>
  <c r="Z17" i="26" s="1"/>
  <c r="AB17" i="26" s="1"/>
  <c r="Y17" i="26"/>
  <c r="R18" i="26"/>
  <c r="Z18" i="26" s="1"/>
  <c r="AB18" i="26" s="1"/>
  <c r="Y18" i="26"/>
  <c r="R19" i="26"/>
  <c r="Z19" i="26" s="1"/>
  <c r="AB19" i="26" s="1"/>
  <c r="Y19" i="26"/>
  <c r="R20" i="26"/>
  <c r="Z20" i="26" s="1"/>
  <c r="AB20" i="26" s="1"/>
  <c r="Y20" i="26"/>
  <c r="R21" i="26"/>
  <c r="Z21" i="26" s="1"/>
  <c r="AB21" i="26" s="1"/>
  <c r="Y21" i="26"/>
  <c r="R22" i="26"/>
  <c r="Z22" i="26" s="1"/>
  <c r="AB22" i="26" s="1"/>
  <c r="Y22" i="26"/>
  <c r="R23" i="26"/>
  <c r="Z23" i="26" s="1"/>
  <c r="AB23" i="26" s="1"/>
  <c r="Y23" i="26"/>
  <c r="R24" i="26"/>
  <c r="Z24" i="26" s="1"/>
  <c r="AB24" i="26" s="1"/>
  <c r="Y24" i="26"/>
  <c r="R25" i="26"/>
  <c r="Z25" i="26" s="1"/>
  <c r="AB25" i="26" s="1"/>
  <c r="Y25" i="26"/>
  <c r="R26" i="26"/>
  <c r="Z26" i="26" s="1"/>
  <c r="AB26" i="26" s="1"/>
  <c r="Y26" i="26"/>
  <c r="R27" i="26"/>
  <c r="Z27" i="26" s="1"/>
  <c r="AB27" i="26" s="1"/>
  <c r="Y27" i="26"/>
  <c r="R28" i="26"/>
  <c r="Z28" i="26" s="1"/>
  <c r="AB28" i="26" s="1"/>
  <c r="Y28" i="26"/>
  <c r="R29" i="26"/>
  <c r="Z29" i="26" s="1"/>
  <c r="AB29" i="26" s="1"/>
  <c r="Y29" i="26"/>
  <c r="R30" i="26"/>
  <c r="Z30" i="26" s="1"/>
  <c r="AB30" i="26" s="1"/>
  <c r="Y30" i="26"/>
  <c r="R31" i="26"/>
  <c r="Z31" i="26" s="1"/>
  <c r="AB31" i="26" s="1"/>
  <c r="Y31" i="26"/>
  <c r="R32" i="26"/>
  <c r="Z32" i="26" s="1"/>
  <c r="AB32" i="26" s="1"/>
  <c r="Y32" i="26"/>
  <c r="R33" i="26"/>
  <c r="Z33" i="26" s="1"/>
  <c r="AB33" i="26" s="1"/>
  <c r="Y33" i="26"/>
  <c r="R34" i="26"/>
  <c r="Z34" i="26" s="1"/>
  <c r="AB34" i="26" s="1"/>
  <c r="Y34" i="26"/>
  <c r="R35" i="26"/>
  <c r="Z35" i="26" s="1"/>
  <c r="AB35" i="26" s="1"/>
  <c r="Y35" i="26"/>
  <c r="R36" i="26"/>
  <c r="Z36" i="26" s="1"/>
  <c r="AB36" i="26" s="1"/>
  <c r="Y36" i="26"/>
  <c r="R37" i="26"/>
  <c r="R38" i="26" s="1"/>
  <c r="R39" i="26" s="1"/>
  <c r="R13" i="27"/>
  <c r="Z13" i="27" s="1"/>
  <c r="AB13" i="27" s="1"/>
  <c r="Y13" i="27"/>
  <c r="R14" i="27"/>
  <c r="Z14" i="27" s="1"/>
  <c r="AB14" i="27" s="1"/>
  <c r="Y14" i="27"/>
  <c r="R15" i="27"/>
  <c r="Z15" i="27" s="1"/>
  <c r="AB15" i="27" s="1"/>
  <c r="Y15" i="27"/>
  <c r="R16" i="27"/>
  <c r="Z16" i="27" s="1"/>
  <c r="AB16" i="27" s="1"/>
  <c r="Y16" i="27"/>
  <c r="R17" i="27"/>
  <c r="Z17" i="27" s="1"/>
  <c r="AB17" i="27" s="1"/>
  <c r="Y17" i="27"/>
  <c r="R18" i="27"/>
  <c r="Z18" i="27" s="1"/>
  <c r="AB18" i="27" s="1"/>
  <c r="Y18" i="27"/>
  <c r="R19" i="27"/>
  <c r="Z19" i="27" s="1"/>
  <c r="AB19" i="27" s="1"/>
  <c r="Y19" i="27"/>
  <c r="R20" i="27"/>
  <c r="Z20" i="27" s="1"/>
  <c r="AB20" i="27" s="1"/>
  <c r="Y20" i="27"/>
  <c r="R21" i="27"/>
  <c r="Z21" i="27" s="1"/>
  <c r="AB21" i="27" s="1"/>
  <c r="Y21" i="27"/>
  <c r="R22" i="27"/>
  <c r="Z22" i="27" s="1"/>
  <c r="AB22" i="27" s="1"/>
  <c r="Y22" i="27"/>
  <c r="R23" i="27"/>
  <c r="Z23" i="27" s="1"/>
  <c r="AB23" i="27" s="1"/>
  <c r="Y23" i="27"/>
  <c r="R24" i="27"/>
  <c r="Z24" i="27" s="1"/>
  <c r="AB24" i="27" s="1"/>
  <c r="Y24" i="27"/>
  <c r="R25" i="27"/>
  <c r="Z25" i="27" s="1"/>
  <c r="AB25" i="27" s="1"/>
  <c r="Y25" i="27"/>
  <c r="R26" i="27"/>
  <c r="Z26" i="27" s="1"/>
  <c r="AB26" i="27" s="1"/>
  <c r="Y26" i="27"/>
  <c r="R27" i="27"/>
  <c r="Z27" i="27" s="1"/>
  <c r="AB27" i="27" s="1"/>
  <c r="Y27" i="27"/>
  <c r="R28" i="27"/>
  <c r="Z28" i="27" s="1"/>
  <c r="AB28" i="27" s="1"/>
  <c r="Y28" i="27"/>
  <c r="R29" i="27"/>
  <c r="Z29" i="27" s="1"/>
  <c r="AB29" i="27" s="1"/>
  <c r="Y29" i="27"/>
  <c r="R30" i="27"/>
  <c r="Z30" i="27" s="1"/>
  <c r="AB30" i="27" s="1"/>
  <c r="Y30" i="27"/>
  <c r="R31" i="27"/>
  <c r="Z31" i="27" s="1"/>
  <c r="AB31" i="27" s="1"/>
  <c r="Y31" i="27"/>
  <c r="R32" i="27"/>
  <c r="Z32" i="27" s="1"/>
  <c r="AB32" i="27" s="1"/>
  <c r="Y32" i="27"/>
  <c r="R33" i="27"/>
  <c r="Z33" i="27" s="1"/>
  <c r="AB33" i="27" s="1"/>
  <c r="Y33" i="27"/>
  <c r="R34" i="27"/>
  <c r="Z34" i="27" s="1"/>
  <c r="AB34" i="27" s="1"/>
  <c r="Y34" i="27"/>
  <c r="R35" i="27"/>
  <c r="Z35" i="27" s="1"/>
  <c r="AB35" i="27" s="1"/>
  <c r="Y35" i="27"/>
  <c r="R36" i="27"/>
  <c r="Z36" i="27" s="1"/>
  <c r="AB36" i="27" s="1"/>
  <c r="Y36" i="27"/>
  <c r="R37" i="27"/>
  <c r="R38" i="27" s="1"/>
  <c r="R39" i="27" s="1"/>
  <c r="BB41" i="27"/>
  <c r="BA41" i="27"/>
  <c r="AZ41" i="27"/>
  <c r="AQ41" i="27" s="1"/>
  <c r="N41" i="27" s="1"/>
  <c r="AY41" i="27"/>
  <c r="AX41" i="27"/>
  <c r="AW41" i="27"/>
  <c r="AV41" i="27"/>
  <c r="AU41" i="27"/>
  <c r="AT41" i="27"/>
  <c r="X38" i="27"/>
  <c r="Z37" i="27"/>
  <c r="AB37" i="27" s="1"/>
  <c r="S40" i="27"/>
  <c r="T40" i="27"/>
  <c r="E40" i="27" s="1"/>
  <c r="H40" i="27" s="1"/>
  <c r="K40" i="27" s="1"/>
  <c r="I40" i="27"/>
  <c r="Q40" i="27" s="1"/>
  <c r="B42" i="27"/>
  <c r="BG41" i="27"/>
  <c r="BD41" i="27" s="1"/>
  <c r="AS41" i="27"/>
  <c r="AP41" i="27" s="1"/>
  <c r="V41" i="27"/>
  <c r="G41" i="27"/>
  <c r="J41" i="27" s="1"/>
  <c r="F41" i="27"/>
  <c r="L41" i="27" s="1"/>
  <c r="M41" i="27" s="1"/>
  <c r="A41" i="27"/>
  <c r="U39" i="27"/>
  <c r="W39" i="27" s="1"/>
  <c r="Y39" i="27" s="1"/>
  <c r="BB41" i="26"/>
  <c r="BA41" i="26"/>
  <c r="AZ41" i="26"/>
  <c r="AQ41" i="26" s="1"/>
  <c r="N41" i="26" s="1"/>
  <c r="AY41" i="26"/>
  <c r="AX41" i="26"/>
  <c r="AW41" i="26"/>
  <c r="AV41" i="26"/>
  <c r="AU41" i="26"/>
  <c r="AT41" i="26"/>
  <c r="X38" i="26"/>
  <c r="Z37" i="26"/>
  <c r="AB37" i="26" s="1"/>
  <c r="S40" i="26"/>
  <c r="T40" i="26"/>
  <c r="E40" i="26" s="1"/>
  <c r="H40" i="26" s="1"/>
  <c r="K40" i="26" s="1"/>
  <c r="I40" i="26"/>
  <c r="Q40" i="26" s="1"/>
  <c r="B42" i="26"/>
  <c r="BG41" i="26"/>
  <c r="BD41" i="26" s="1"/>
  <c r="AS41" i="26"/>
  <c r="AP41" i="26" s="1"/>
  <c r="V41" i="26"/>
  <c r="G41" i="26"/>
  <c r="J41" i="26" s="1"/>
  <c r="F41" i="26"/>
  <c r="L41" i="26" s="1"/>
  <c r="M41" i="26" s="1"/>
  <c r="A41" i="26"/>
  <c r="U39" i="26"/>
  <c r="W39" i="26" s="1"/>
  <c r="Y39" i="26" s="1"/>
  <c r="BB41" i="25"/>
  <c r="BA41" i="25"/>
  <c r="AZ41" i="25"/>
  <c r="AQ41" i="25" s="1"/>
  <c r="N41" i="25" s="1"/>
  <c r="AY41" i="25"/>
  <c r="AX41" i="25"/>
  <c r="AW41" i="25"/>
  <c r="AV41" i="25"/>
  <c r="AU41" i="25"/>
  <c r="AT41" i="25"/>
  <c r="X38" i="25"/>
  <c r="Z37" i="25"/>
  <c r="AB37" i="25" s="1"/>
  <c r="S40" i="25"/>
  <c r="T40" i="25"/>
  <c r="E40" i="25" s="1"/>
  <c r="H40" i="25" s="1"/>
  <c r="K40" i="25" s="1"/>
  <c r="I40" i="25"/>
  <c r="Q40" i="25" s="1"/>
  <c r="B42" i="25"/>
  <c r="BG41" i="25"/>
  <c r="BD41" i="25" s="1"/>
  <c r="AS41" i="25"/>
  <c r="AP41" i="25" s="1"/>
  <c r="V41" i="25"/>
  <c r="G41" i="25"/>
  <c r="J41" i="25" s="1"/>
  <c r="F41" i="25"/>
  <c r="L41" i="25" s="1"/>
  <c r="M41" i="25" s="1"/>
  <c r="A41" i="25"/>
  <c r="U39" i="25"/>
  <c r="W39" i="25" s="1"/>
  <c r="Y39" i="25" s="1"/>
  <c r="BB41" i="24"/>
  <c r="BA41" i="24"/>
  <c r="AZ41" i="24"/>
  <c r="AQ41" i="24" s="1"/>
  <c r="N41" i="24" s="1"/>
  <c r="AY41" i="24"/>
  <c r="AX41" i="24"/>
  <c r="AW41" i="24"/>
  <c r="AV41" i="24"/>
  <c r="AU41" i="24"/>
  <c r="AT41" i="24"/>
  <c r="X38" i="24"/>
  <c r="Z37" i="24"/>
  <c r="AB37" i="24" s="1"/>
  <c r="S40" i="24"/>
  <c r="T40" i="24"/>
  <c r="E40" i="24" s="1"/>
  <c r="H40" i="24" s="1"/>
  <c r="K40" i="24" s="1"/>
  <c r="I40" i="24"/>
  <c r="Q40" i="24" s="1"/>
  <c r="B42" i="24"/>
  <c r="BG41" i="24"/>
  <c r="BD41" i="24" s="1"/>
  <c r="AS41" i="24"/>
  <c r="AP41" i="24" s="1"/>
  <c r="V41" i="24"/>
  <c r="G41" i="24"/>
  <c r="J41" i="24" s="1"/>
  <c r="F41" i="24"/>
  <c r="L41" i="24" s="1"/>
  <c r="M41" i="24" s="1"/>
  <c r="A41" i="24"/>
  <c r="U39" i="24"/>
  <c r="W39" i="24" s="1"/>
  <c r="Y39" i="24" s="1"/>
  <c r="AA13" i="23"/>
  <c r="AA14" i="23"/>
  <c r="AA15" i="23"/>
  <c r="AA16" i="23"/>
  <c r="AA17" i="23"/>
  <c r="AA18" i="23"/>
  <c r="AA19" i="23"/>
  <c r="AA20" i="23"/>
  <c r="AA21" i="23"/>
  <c r="AA22" i="23"/>
  <c r="AA23" i="23"/>
  <c r="AA24" i="23"/>
  <c r="AA25" i="23"/>
  <c r="AA26" i="23"/>
  <c r="AA27" i="23"/>
  <c r="AA28" i="23"/>
  <c r="AA29" i="23"/>
  <c r="AA30" i="23"/>
  <c r="AA31" i="23"/>
  <c r="AA32" i="23"/>
  <c r="AA33" i="23"/>
  <c r="AA34" i="23"/>
  <c r="AA35" i="23"/>
  <c r="AA36" i="23"/>
  <c r="AA37" i="23"/>
  <c r="AA38" i="23"/>
  <c r="AA39" i="23"/>
  <c r="AA40" i="23"/>
  <c r="AA41" i="23"/>
  <c r="AA42" i="23"/>
  <c r="AA43" i="23"/>
  <c r="AA44" i="23"/>
  <c r="AA45" i="23"/>
  <c r="AA46" i="23"/>
  <c r="AA47" i="23"/>
  <c r="AA48" i="23"/>
  <c r="AA49" i="23"/>
  <c r="AA50" i="23"/>
  <c r="AA51" i="23"/>
  <c r="AA52" i="23"/>
  <c r="R13" i="23"/>
  <c r="Y13" i="23"/>
  <c r="R14" i="23"/>
  <c r="Y14" i="23"/>
  <c r="R15" i="23"/>
  <c r="Y15" i="23"/>
  <c r="Y19" i="23"/>
  <c r="Y18" i="23"/>
  <c r="Y17" i="23"/>
  <c r="R16" i="23"/>
  <c r="R17" i="23" s="1"/>
  <c r="R18" i="23" s="1"/>
  <c r="R19" i="23" s="1"/>
  <c r="Y16" i="23"/>
  <c r="AI32" i="23"/>
  <c r="V21" i="23"/>
  <c r="AM33" i="23"/>
  <c r="AN33" i="23"/>
  <c r="X13" i="23"/>
  <c r="AB12" i="23"/>
  <c r="BB26" i="23"/>
  <c r="BA26" i="23"/>
  <c r="AZ26" i="23"/>
  <c r="AQ26" i="23" s="1"/>
  <c r="N26" i="23" s="1"/>
  <c r="AY26" i="23"/>
  <c r="AX26" i="23"/>
  <c r="AW26" i="23"/>
  <c r="AV26" i="23"/>
  <c r="AU26" i="23"/>
  <c r="AT26" i="23"/>
  <c r="T25" i="23"/>
  <c r="E25" i="23" s="1"/>
  <c r="H25" i="23" s="1"/>
  <c r="K25" i="23" s="1"/>
  <c r="I25" i="23"/>
  <c r="Q25" i="23" s="1"/>
  <c r="B27" i="23"/>
  <c r="BG26" i="23"/>
  <c r="BD26" i="23" s="1"/>
  <c r="AS26" i="23"/>
  <c r="AP26" i="23" s="1"/>
  <c r="G26" i="23"/>
  <c r="J26" i="23" s="1"/>
  <c r="F26" i="23"/>
  <c r="L26" i="23" s="1"/>
  <c r="M26" i="23" s="1"/>
  <c r="G28" i="10"/>
  <c r="F28" i="10"/>
  <c r="B27" i="10"/>
  <c r="R40" i="24" l="1"/>
  <c r="R40" i="25"/>
  <c r="R40" i="26"/>
  <c r="R40" i="27"/>
  <c r="BB42" i="27"/>
  <c r="BA42" i="27"/>
  <c r="AZ42" i="27"/>
  <c r="AQ42" i="27" s="1"/>
  <c r="N42" i="27" s="1"/>
  <c r="AY42" i="27"/>
  <c r="AX42" i="27"/>
  <c r="AW42" i="27"/>
  <c r="AV42" i="27"/>
  <c r="AU42" i="27"/>
  <c r="AT42" i="27"/>
  <c r="S41" i="27"/>
  <c r="T41" i="27"/>
  <c r="E41" i="27" s="1"/>
  <c r="H41" i="27" s="1"/>
  <c r="K41" i="27" s="1"/>
  <c r="I41" i="27"/>
  <c r="Q41" i="27" s="1"/>
  <c r="R41" i="27" s="1"/>
  <c r="B43" i="27"/>
  <c r="BG42" i="27"/>
  <c r="BD42" i="27" s="1"/>
  <c r="AS42" i="27"/>
  <c r="AP42" i="27" s="1"/>
  <c r="V42" i="27"/>
  <c r="G42" i="27"/>
  <c r="J42" i="27" s="1"/>
  <c r="F42" i="27"/>
  <c r="L42" i="27" s="1"/>
  <c r="M42" i="27" s="1"/>
  <c r="A42" i="27"/>
  <c r="U40" i="27"/>
  <c r="W40" i="27" s="1"/>
  <c r="Y40" i="27" s="1"/>
  <c r="X39" i="27"/>
  <c r="Z38" i="27"/>
  <c r="AB38" i="27" s="1"/>
  <c r="BB42" i="26"/>
  <c r="BA42" i="26"/>
  <c r="AZ42" i="26"/>
  <c r="AQ42" i="26" s="1"/>
  <c r="N42" i="26" s="1"/>
  <c r="AY42" i="26"/>
  <c r="AX42" i="26"/>
  <c r="AW42" i="26"/>
  <c r="AV42" i="26"/>
  <c r="AU42" i="26"/>
  <c r="AT42" i="26"/>
  <c r="S41" i="26"/>
  <c r="T41" i="26"/>
  <c r="E41" i="26" s="1"/>
  <c r="H41" i="26" s="1"/>
  <c r="K41" i="26" s="1"/>
  <c r="I41" i="26"/>
  <c r="Q41" i="26" s="1"/>
  <c r="R41" i="26" s="1"/>
  <c r="B43" i="26"/>
  <c r="BG42" i="26"/>
  <c r="BD42" i="26" s="1"/>
  <c r="AS42" i="26"/>
  <c r="AP42" i="26" s="1"/>
  <c r="V42" i="26"/>
  <c r="G42" i="26"/>
  <c r="J42" i="26" s="1"/>
  <c r="F42" i="26"/>
  <c r="L42" i="26" s="1"/>
  <c r="M42" i="26" s="1"/>
  <c r="A42" i="26"/>
  <c r="U40" i="26"/>
  <c r="W40" i="26" s="1"/>
  <c r="Y40" i="26" s="1"/>
  <c r="X39" i="26"/>
  <c r="Z38" i="26"/>
  <c r="AB38" i="26" s="1"/>
  <c r="BB42" i="25"/>
  <c r="BA42" i="25"/>
  <c r="AZ42" i="25"/>
  <c r="AQ42" i="25" s="1"/>
  <c r="N42" i="25" s="1"/>
  <c r="AY42" i="25"/>
  <c r="AX42" i="25"/>
  <c r="AW42" i="25"/>
  <c r="AV42" i="25"/>
  <c r="AU42" i="25"/>
  <c r="AT42" i="25"/>
  <c r="S41" i="25"/>
  <c r="T41" i="25"/>
  <c r="E41" i="25" s="1"/>
  <c r="H41" i="25" s="1"/>
  <c r="K41" i="25" s="1"/>
  <c r="I41" i="25"/>
  <c r="Q41" i="25" s="1"/>
  <c r="R41" i="25" s="1"/>
  <c r="B43" i="25"/>
  <c r="BG42" i="25"/>
  <c r="BD42" i="25" s="1"/>
  <c r="AS42" i="25"/>
  <c r="AP42" i="25" s="1"/>
  <c r="V42" i="25"/>
  <c r="G42" i="25"/>
  <c r="J42" i="25" s="1"/>
  <c r="F42" i="25"/>
  <c r="L42" i="25" s="1"/>
  <c r="M42" i="25" s="1"/>
  <c r="A42" i="25"/>
  <c r="U40" i="25"/>
  <c r="W40" i="25" s="1"/>
  <c r="Y40" i="25" s="1"/>
  <c r="X39" i="25"/>
  <c r="Z38" i="25"/>
  <c r="AB38" i="25" s="1"/>
  <c r="BB42" i="24"/>
  <c r="BA42" i="24"/>
  <c r="AZ42" i="24"/>
  <c r="AQ42" i="24" s="1"/>
  <c r="N42" i="24" s="1"/>
  <c r="AY42" i="24"/>
  <c r="AX42" i="24"/>
  <c r="AW42" i="24"/>
  <c r="AV42" i="24"/>
  <c r="AU42" i="24"/>
  <c r="AT42" i="24"/>
  <c r="S41" i="24"/>
  <c r="T41" i="24"/>
  <c r="E41" i="24" s="1"/>
  <c r="H41" i="24" s="1"/>
  <c r="K41" i="24" s="1"/>
  <c r="I41" i="24"/>
  <c r="Q41" i="24" s="1"/>
  <c r="R41" i="24" s="1"/>
  <c r="B43" i="24"/>
  <c r="BG42" i="24"/>
  <c r="BD42" i="24" s="1"/>
  <c r="AS42" i="24"/>
  <c r="AP42" i="24" s="1"/>
  <c r="V42" i="24"/>
  <c r="G42" i="24"/>
  <c r="J42" i="24" s="1"/>
  <c r="F42" i="24"/>
  <c r="L42" i="24" s="1"/>
  <c r="M42" i="24" s="1"/>
  <c r="A42" i="24"/>
  <c r="U40" i="24"/>
  <c r="W40" i="24" s="1"/>
  <c r="Y40" i="24" s="1"/>
  <c r="X39" i="24"/>
  <c r="Z38" i="24"/>
  <c r="AB38" i="24" s="1"/>
  <c r="AA53" i="23"/>
  <c r="AI33" i="23"/>
  <c r="V22" i="23"/>
  <c r="AM34" i="23"/>
  <c r="AN34" i="23"/>
  <c r="X14" i="23"/>
  <c r="Z13" i="23"/>
  <c r="AB13" i="23" s="1"/>
  <c r="BB27" i="23"/>
  <c r="BA27" i="23"/>
  <c r="AZ27" i="23"/>
  <c r="AQ27" i="23" s="1"/>
  <c r="N27" i="23" s="1"/>
  <c r="AY27" i="23"/>
  <c r="AX27" i="23"/>
  <c r="AW27" i="23"/>
  <c r="AV27" i="23"/>
  <c r="AU27" i="23"/>
  <c r="AT27" i="23"/>
  <c r="I26" i="23"/>
  <c r="B28" i="23"/>
  <c r="BG27" i="23"/>
  <c r="BD27" i="23" s="1"/>
  <c r="AS27" i="23"/>
  <c r="AP27" i="23" s="1"/>
  <c r="G27" i="23"/>
  <c r="J27" i="23" s="1"/>
  <c r="F27" i="23"/>
  <c r="L27" i="23" s="1"/>
  <c r="M27" i="23" s="1"/>
  <c r="G29" i="10"/>
  <c r="F29" i="10"/>
  <c r="B28" i="10"/>
  <c r="BB43" i="27" l="1"/>
  <c r="BA43" i="27"/>
  <c r="AZ43" i="27"/>
  <c r="AQ43" i="27" s="1"/>
  <c r="N43" i="27" s="1"/>
  <c r="AY43" i="27"/>
  <c r="AX43" i="27"/>
  <c r="AW43" i="27"/>
  <c r="AV43" i="27"/>
  <c r="AU43" i="27"/>
  <c r="AT43" i="27"/>
  <c r="X40" i="27"/>
  <c r="Z39" i="27"/>
  <c r="AB39" i="27" s="1"/>
  <c r="S42" i="27"/>
  <c r="T42" i="27"/>
  <c r="E42" i="27" s="1"/>
  <c r="H42" i="27" s="1"/>
  <c r="K42" i="27" s="1"/>
  <c r="I42" i="27"/>
  <c r="Q42" i="27" s="1"/>
  <c r="R42" i="27" s="1"/>
  <c r="B44" i="27"/>
  <c r="BG43" i="27"/>
  <c r="BD43" i="27" s="1"/>
  <c r="AS43" i="27"/>
  <c r="AP43" i="27" s="1"/>
  <c r="V43" i="27"/>
  <c r="G43" i="27"/>
  <c r="J43" i="27" s="1"/>
  <c r="F43" i="27"/>
  <c r="L43" i="27" s="1"/>
  <c r="M43" i="27" s="1"/>
  <c r="A43" i="27"/>
  <c r="U41" i="27"/>
  <c r="W41" i="27" s="1"/>
  <c r="Y41" i="27" s="1"/>
  <c r="BB43" i="26"/>
  <c r="BA43" i="26"/>
  <c r="AZ43" i="26"/>
  <c r="AQ43" i="26" s="1"/>
  <c r="N43" i="26" s="1"/>
  <c r="AY43" i="26"/>
  <c r="AX43" i="26"/>
  <c r="AW43" i="26"/>
  <c r="AV43" i="26"/>
  <c r="AU43" i="26"/>
  <c r="AT43" i="26"/>
  <c r="X40" i="26"/>
  <c r="Z39" i="26"/>
  <c r="AB39" i="26" s="1"/>
  <c r="S42" i="26"/>
  <c r="T42" i="26"/>
  <c r="E42" i="26" s="1"/>
  <c r="H42" i="26" s="1"/>
  <c r="K42" i="26" s="1"/>
  <c r="I42" i="26"/>
  <c r="Q42" i="26" s="1"/>
  <c r="R42" i="26" s="1"/>
  <c r="B44" i="26"/>
  <c r="BG43" i="26"/>
  <c r="BD43" i="26" s="1"/>
  <c r="AS43" i="26"/>
  <c r="AP43" i="26" s="1"/>
  <c r="V43" i="26"/>
  <c r="G43" i="26"/>
  <c r="J43" i="26" s="1"/>
  <c r="F43" i="26"/>
  <c r="L43" i="26" s="1"/>
  <c r="M43" i="26" s="1"/>
  <c r="A43" i="26"/>
  <c r="U41" i="26"/>
  <c r="W41" i="26" s="1"/>
  <c r="Y41" i="26" s="1"/>
  <c r="BB43" i="25"/>
  <c r="BA43" i="25"/>
  <c r="AZ43" i="25"/>
  <c r="AQ43" i="25" s="1"/>
  <c r="N43" i="25" s="1"/>
  <c r="AY43" i="25"/>
  <c r="AX43" i="25"/>
  <c r="AW43" i="25"/>
  <c r="AV43" i="25"/>
  <c r="AU43" i="25"/>
  <c r="AT43" i="25"/>
  <c r="X40" i="25"/>
  <c r="Z39" i="25"/>
  <c r="AB39" i="25" s="1"/>
  <c r="S42" i="25"/>
  <c r="T42" i="25"/>
  <c r="E42" i="25" s="1"/>
  <c r="H42" i="25" s="1"/>
  <c r="K42" i="25" s="1"/>
  <c r="I42" i="25"/>
  <c r="Q42" i="25" s="1"/>
  <c r="R42" i="25" s="1"/>
  <c r="B44" i="25"/>
  <c r="BG43" i="25"/>
  <c r="BD43" i="25" s="1"/>
  <c r="AS43" i="25"/>
  <c r="AP43" i="25" s="1"/>
  <c r="V43" i="25"/>
  <c r="G43" i="25"/>
  <c r="J43" i="25" s="1"/>
  <c r="F43" i="25"/>
  <c r="L43" i="25" s="1"/>
  <c r="M43" i="25" s="1"/>
  <c r="A43" i="25"/>
  <c r="U41" i="25"/>
  <c r="W41" i="25" s="1"/>
  <c r="Y41" i="25" s="1"/>
  <c r="BB43" i="24"/>
  <c r="BA43" i="24"/>
  <c r="AZ43" i="24"/>
  <c r="AQ43" i="24" s="1"/>
  <c r="N43" i="24" s="1"/>
  <c r="AY43" i="24"/>
  <c r="AX43" i="24"/>
  <c r="AW43" i="24"/>
  <c r="AV43" i="24"/>
  <c r="AU43" i="24"/>
  <c r="AT43" i="24"/>
  <c r="X40" i="24"/>
  <c r="Z39" i="24"/>
  <c r="AB39" i="24" s="1"/>
  <c r="S42" i="24"/>
  <c r="T42" i="24"/>
  <c r="E42" i="24" s="1"/>
  <c r="H42" i="24" s="1"/>
  <c r="K42" i="24" s="1"/>
  <c r="I42" i="24"/>
  <c r="Q42" i="24" s="1"/>
  <c r="R42" i="24" s="1"/>
  <c r="B44" i="24"/>
  <c r="BG43" i="24"/>
  <c r="BD43" i="24" s="1"/>
  <c r="AS43" i="24"/>
  <c r="AP43" i="24" s="1"/>
  <c r="V43" i="24"/>
  <c r="G43" i="24"/>
  <c r="J43" i="24" s="1"/>
  <c r="F43" i="24"/>
  <c r="L43" i="24" s="1"/>
  <c r="M43" i="24" s="1"/>
  <c r="A43" i="24"/>
  <c r="U41" i="24"/>
  <c r="W41" i="24" s="1"/>
  <c r="Y41" i="24" s="1"/>
  <c r="AI34" i="23"/>
  <c r="V23" i="23"/>
  <c r="AM35" i="23"/>
  <c r="AN35" i="23"/>
  <c r="X15" i="23"/>
  <c r="Z14" i="23"/>
  <c r="AB14" i="23" s="1"/>
  <c r="BB28" i="23"/>
  <c r="BA28" i="23"/>
  <c r="AZ28" i="23"/>
  <c r="AQ28" i="23" s="1"/>
  <c r="N28" i="23" s="1"/>
  <c r="AY28" i="23"/>
  <c r="AX28" i="23"/>
  <c r="AW28" i="23"/>
  <c r="AV28" i="23"/>
  <c r="AU28" i="23"/>
  <c r="AT28" i="23"/>
  <c r="T27" i="23"/>
  <c r="E27" i="23" s="1"/>
  <c r="H27" i="23" s="1"/>
  <c r="K27" i="23" s="1"/>
  <c r="I27" i="23"/>
  <c r="Q27" i="23" s="1"/>
  <c r="B29" i="23"/>
  <c r="BG28" i="23"/>
  <c r="BD28" i="23" s="1"/>
  <c r="AS28" i="23"/>
  <c r="AP28" i="23" s="1"/>
  <c r="G28" i="23"/>
  <c r="J28" i="23" s="1"/>
  <c r="F28" i="23"/>
  <c r="L28" i="23" s="1"/>
  <c r="M28" i="23" s="1"/>
  <c r="G30" i="10"/>
  <c r="F30" i="10"/>
  <c r="B29" i="10"/>
  <c r="BB44" i="27" l="1"/>
  <c r="BA44" i="27"/>
  <c r="AZ44" i="27"/>
  <c r="AQ44" i="27" s="1"/>
  <c r="N44" i="27" s="1"/>
  <c r="AY44" i="27"/>
  <c r="AX44" i="27"/>
  <c r="AW44" i="27"/>
  <c r="AV44" i="27"/>
  <c r="AU44" i="27"/>
  <c r="AT44" i="27"/>
  <c r="S43" i="27"/>
  <c r="T43" i="27"/>
  <c r="E43" i="27" s="1"/>
  <c r="H43" i="27" s="1"/>
  <c r="K43" i="27" s="1"/>
  <c r="I43" i="27"/>
  <c r="Q43" i="27" s="1"/>
  <c r="R43" i="27" s="1"/>
  <c r="B45" i="27"/>
  <c r="BG44" i="27"/>
  <c r="BD44" i="27" s="1"/>
  <c r="AS44" i="27"/>
  <c r="AP44" i="27" s="1"/>
  <c r="V44" i="27"/>
  <c r="G44" i="27"/>
  <c r="J44" i="27" s="1"/>
  <c r="F44" i="27"/>
  <c r="L44" i="27" s="1"/>
  <c r="M44" i="27" s="1"/>
  <c r="A44" i="27"/>
  <c r="U42" i="27"/>
  <c r="W42" i="27" s="1"/>
  <c r="Y42" i="27" s="1"/>
  <c r="X41" i="27"/>
  <c r="Z40" i="27"/>
  <c r="AB40" i="27" s="1"/>
  <c r="BB44" i="26"/>
  <c r="BA44" i="26"/>
  <c r="AZ44" i="26"/>
  <c r="AQ44" i="26" s="1"/>
  <c r="N44" i="26" s="1"/>
  <c r="AY44" i="26"/>
  <c r="AX44" i="26"/>
  <c r="AW44" i="26"/>
  <c r="AV44" i="26"/>
  <c r="AU44" i="26"/>
  <c r="AT44" i="26"/>
  <c r="S43" i="26"/>
  <c r="T43" i="26"/>
  <c r="E43" i="26" s="1"/>
  <c r="H43" i="26" s="1"/>
  <c r="K43" i="26" s="1"/>
  <c r="I43" i="26"/>
  <c r="Q43" i="26" s="1"/>
  <c r="R43" i="26" s="1"/>
  <c r="B45" i="26"/>
  <c r="BG44" i="26"/>
  <c r="BD44" i="26" s="1"/>
  <c r="AS44" i="26"/>
  <c r="AP44" i="26" s="1"/>
  <c r="V44" i="26"/>
  <c r="G44" i="26"/>
  <c r="J44" i="26" s="1"/>
  <c r="F44" i="26"/>
  <c r="L44" i="26" s="1"/>
  <c r="M44" i="26" s="1"/>
  <c r="A44" i="26"/>
  <c r="U42" i="26"/>
  <c r="W42" i="26" s="1"/>
  <c r="Y42" i="26" s="1"/>
  <c r="X41" i="26"/>
  <c r="Z40" i="26"/>
  <c r="AB40" i="26" s="1"/>
  <c r="BB44" i="25"/>
  <c r="BA44" i="25"/>
  <c r="AZ44" i="25"/>
  <c r="AQ44" i="25" s="1"/>
  <c r="N44" i="25" s="1"/>
  <c r="AY44" i="25"/>
  <c r="AX44" i="25"/>
  <c r="AW44" i="25"/>
  <c r="AV44" i="25"/>
  <c r="AU44" i="25"/>
  <c r="AT44" i="25"/>
  <c r="S43" i="25"/>
  <c r="T43" i="25"/>
  <c r="E43" i="25" s="1"/>
  <c r="H43" i="25" s="1"/>
  <c r="K43" i="25" s="1"/>
  <c r="I43" i="25"/>
  <c r="Q43" i="25" s="1"/>
  <c r="R43" i="25" s="1"/>
  <c r="B45" i="25"/>
  <c r="BG44" i="25"/>
  <c r="BD44" i="25" s="1"/>
  <c r="AS44" i="25"/>
  <c r="AP44" i="25" s="1"/>
  <c r="V44" i="25"/>
  <c r="G44" i="25"/>
  <c r="J44" i="25" s="1"/>
  <c r="F44" i="25"/>
  <c r="L44" i="25" s="1"/>
  <c r="M44" i="25" s="1"/>
  <c r="A44" i="25"/>
  <c r="U42" i="25"/>
  <c r="W42" i="25" s="1"/>
  <c r="Y42" i="25" s="1"/>
  <c r="X41" i="25"/>
  <c r="Z40" i="25"/>
  <c r="AB40" i="25" s="1"/>
  <c r="BB44" i="24"/>
  <c r="BA44" i="24"/>
  <c r="AZ44" i="24"/>
  <c r="AQ44" i="24" s="1"/>
  <c r="N44" i="24" s="1"/>
  <c r="AY44" i="24"/>
  <c r="AX44" i="24"/>
  <c r="AW44" i="24"/>
  <c r="AV44" i="24"/>
  <c r="AU44" i="24"/>
  <c r="AT44" i="24"/>
  <c r="S43" i="24"/>
  <c r="T43" i="24"/>
  <c r="E43" i="24" s="1"/>
  <c r="H43" i="24" s="1"/>
  <c r="K43" i="24" s="1"/>
  <c r="I43" i="24"/>
  <c r="Q43" i="24" s="1"/>
  <c r="R43" i="24" s="1"/>
  <c r="B45" i="24"/>
  <c r="BG44" i="24"/>
  <c r="BD44" i="24" s="1"/>
  <c r="AS44" i="24"/>
  <c r="AP44" i="24" s="1"/>
  <c r="V44" i="24"/>
  <c r="G44" i="24"/>
  <c r="J44" i="24" s="1"/>
  <c r="F44" i="24"/>
  <c r="L44" i="24" s="1"/>
  <c r="M44" i="24" s="1"/>
  <c r="A44" i="24"/>
  <c r="U42" i="24"/>
  <c r="W42" i="24" s="1"/>
  <c r="Y42" i="24" s="1"/>
  <c r="X41" i="24"/>
  <c r="Z40" i="24"/>
  <c r="AB40" i="24" s="1"/>
  <c r="AI35" i="23"/>
  <c r="V24" i="23"/>
  <c r="AM36" i="23"/>
  <c r="AN36" i="23"/>
  <c r="X16" i="23"/>
  <c r="Z15" i="23"/>
  <c r="AB15" i="23" s="1"/>
  <c r="BB29" i="23"/>
  <c r="BA29" i="23"/>
  <c r="AZ29" i="23"/>
  <c r="AQ29" i="23" s="1"/>
  <c r="N29" i="23" s="1"/>
  <c r="AY29" i="23"/>
  <c r="AX29" i="23"/>
  <c r="AW29" i="23"/>
  <c r="AV29" i="23"/>
  <c r="AU29" i="23"/>
  <c r="AT29" i="23"/>
  <c r="I28" i="23"/>
  <c r="B30" i="23"/>
  <c r="BG29" i="23"/>
  <c r="BD29" i="23" s="1"/>
  <c r="AS29" i="23"/>
  <c r="AP29" i="23" s="1"/>
  <c r="G29" i="23"/>
  <c r="J29" i="23" s="1"/>
  <c r="F29" i="23"/>
  <c r="L29" i="23" s="1"/>
  <c r="M29" i="23" s="1"/>
  <c r="G31" i="10"/>
  <c r="F31" i="10"/>
  <c r="B30" i="10"/>
  <c r="BB45" i="27" l="1"/>
  <c r="BA45" i="27"/>
  <c r="AZ45" i="27"/>
  <c r="AQ45" i="27" s="1"/>
  <c r="N45" i="27" s="1"/>
  <c r="AY45" i="27"/>
  <c r="AX45" i="27"/>
  <c r="AW45" i="27"/>
  <c r="AV45" i="27"/>
  <c r="AU45" i="27"/>
  <c r="AT45" i="27"/>
  <c r="X42" i="27"/>
  <c r="Z41" i="27"/>
  <c r="AB41" i="27" s="1"/>
  <c r="S44" i="27"/>
  <c r="T44" i="27"/>
  <c r="E44" i="27" s="1"/>
  <c r="H44" i="27" s="1"/>
  <c r="K44" i="27" s="1"/>
  <c r="I44" i="27"/>
  <c r="Q44" i="27" s="1"/>
  <c r="R44" i="27" s="1"/>
  <c r="B46" i="27"/>
  <c r="BG45" i="27"/>
  <c r="BD45" i="27" s="1"/>
  <c r="AS45" i="27"/>
  <c r="AP45" i="27" s="1"/>
  <c r="V45" i="27"/>
  <c r="G45" i="27"/>
  <c r="J45" i="27" s="1"/>
  <c r="F45" i="27"/>
  <c r="L45" i="27" s="1"/>
  <c r="M45" i="27" s="1"/>
  <c r="A45" i="27"/>
  <c r="U43" i="27"/>
  <c r="W43" i="27" s="1"/>
  <c r="Y43" i="27" s="1"/>
  <c r="BB45" i="26"/>
  <c r="BA45" i="26"/>
  <c r="AZ45" i="26"/>
  <c r="AQ45" i="26" s="1"/>
  <c r="N45" i="26" s="1"/>
  <c r="AY45" i="26"/>
  <c r="AX45" i="26"/>
  <c r="AW45" i="26"/>
  <c r="AV45" i="26"/>
  <c r="AU45" i="26"/>
  <c r="AT45" i="26"/>
  <c r="X42" i="26"/>
  <c r="Z41" i="26"/>
  <c r="AB41" i="26" s="1"/>
  <c r="S44" i="26"/>
  <c r="T44" i="26"/>
  <c r="E44" i="26" s="1"/>
  <c r="H44" i="26" s="1"/>
  <c r="K44" i="26" s="1"/>
  <c r="I44" i="26"/>
  <c r="Q44" i="26" s="1"/>
  <c r="R44" i="26" s="1"/>
  <c r="B46" i="26"/>
  <c r="BG45" i="26"/>
  <c r="BD45" i="26" s="1"/>
  <c r="AS45" i="26"/>
  <c r="AP45" i="26" s="1"/>
  <c r="V45" i="26"/>
  <c r="G45" i="26"/>
  <c r="J45" i="26" s="1"/>
  <c r="F45" i="26"/>
  <c r="L45" i="26" s="1"/>
  <c r="M45" i="26" s="1"/>
  <c r="A45" i="26"/>
  <c r="U43" i="26"/>
  <c r="W43" i="26" s="1"/>
  <c r="Y43" i="26" s="1"/>
  <c r="BB45" i="25"/>
  <c r="BA45" i="25"/>
  <c r="AZ45" i="25"/>
  <c r="AQ45" i="25" s="1"/>
  <c r="N45" i="25" s="1"/>
  <c r="AY45" i="25"/>
  <c r="AX45" i="25"/>
  <c r="AW45" i="25"/>
  <c r="AV45" i="25"/>
  <c r="AU45" i="25"/>
  <c r="AT45" i="25"/>
  <c r="X42" i="25"/>
  <c r="Z41" i="25"/>
  <c r="AB41" i="25" s="1"/>
  <c r="S44" i="25"/>
  <c r="T44" i="25"/>
  <c r="E44" i="25" s="1"/>
  <c r="H44" i="25" s="1"/>
  <c r="K44" i="25" s="1"/>
  <c r="I44" i="25"/>
  <c r="Q44" i="25" s="1"/>
  <c r="R44" i="25" s="1"/>
  <c r="B46" i="25"/>
  <c r="BG45" i="25"/>
  <c r="BD45" i="25" s="1"/>
  <c r="AS45" i="25"/>
  <c r="AP45" i="25" s="1"/>
  <c r="V45" i="25"/>
  <c r="G45" i="25"/>
  <c r="J45" i="25" s="1"/>
  <c r="F45" i="25"/>
  <c r="L45" i="25" s="1"/>
  <c r="M45" i="25" s="1"/>
  <c r="A45" i="25"/>
  <c r="U43" i="25"/>
  <c r="W43" i="25" s="1"/>
  <c r="Y43" i="25" s="1"/>
  <c r="BB45" i="24"/>
  <c r="BA45" i="24"/>
  <c r="AZ45" i="24"/>
  <c r="AQ45" i="24" s="1"/>
  <c r="N45" i="24" s="1"/>
  <c r="AY45" i="24"/>
  <c r="AX45" i="24"/>
  <c r="AW45" i="24"/>
  <c r="AV45" i="24"/>
  <c r="AU45" i="24"/>
  <c r="AT45" i="24"/>
  <c r="X42" i="24"/>
  <c r="Z41" i="24"/>
  <c r="AB41" i="24" s="1"/>
  <c r="S44" i="24"/>
  <c r="T44" i="24"/>
  <c r="E44" i="24" s="1"/>
  <c r="H44" i="24" s="1"/>
  <c r="K44" i="24" s="1"/>
  <c r="I44" i="24"/>
  <c r="Q44" i="24" s="1"/>
  <c r="R44" i="24" s="1"/>
  <c r="B46" i="24"/>
  <c r="BG45" i="24"/>
  <c r="BD45" i="24" s="1"/>
  <c r="AS45" i="24"/>
  <c r="AP45" i="24" s="1"/>
  <c r="V45" i="24"/>
  <c r="G45" i="24"/>
  <c r="J45" i="24" s="1"/>
  <c r="F45" i="24"/>
  <c r="L45" i="24" s="1"/>
  <c r="M45" i="24" s="1"/>
  <c r="A45" i="24"/>
  <c r="U43" i="24"/>
  <c r="W43" i="24" s="1"/>
  <c r="Y43" i="24" s="1"/>
  <c r="AI36" i="23"/>
  <c r="V25" i="23"/>
  <c r="AM37" i="23"/>
  <c r="AN37" i="23"/>
  <c r="X17" i="23"/>
  <c r="Z16" i="23"/>
  <c r="AB16" i="23" s="1"/>
  <c r="BB30" i="23"/>
  <c r="BA30" i="23"/>
  <c r="AZ30" i="23"/>
  <c r="AQ30" i="23" s="1"/>
  <c r="N30" i="23" s="1"/>
  <c r="AY30" i="23"/>
  <c r="AX30" i="23"/>
  <c r="AW30" i="23"/>
  <c r="AV30" i="23"/>
  <c r="AU30" i="23"/>
  <c r="AT30" i="23"/>
  <c r="T29" i="23"/>
  <c r="E29" i="23" s="1"/>
  <c r="H29" i="23" s="1"/>
  <c r="K29" i="23" s="1"/>
  <c r="I29" i="23"/>
  <c r="Q29" i="23" s="1"/>
  <c r="B31" i="23"/>
  <c r="BG30" i="23"/>
  <c r="BD30" i="23" s="1"/>
  <c r="AS30" i="23"/>
  <c r="AP30" i="23" s="1"/>
  <c r="G30" i="23"/>
  <c r="J30" i="23" s="1"/>
  <c r="F30" i="23"/>
  <c r="L30" i="23" s="1"/>
  <c r="M30" i="23" s="1"/>
  <c r="G32" i="10"/>
  <c r="F32" i="10"/>
  <c r="B31" i="10"/>
  <c r="BB46" i="27" l="1"/>
  <c r="BA46" i="27"/>
  <c r="AZ46" i="27"/>
  <c r="AQ46" i="27" s="1"/>
  <c r="N46" i="27" s="1"/>
  <c r="AY46" i="27"/>
  <c r="AX46" i="27"/>
  <c r="AW46" i="27"/>
  <c r="AV46" i="27"/>
  <c r="AU46" i="27"/>
  <c r="AT46" i="27"/>
  <c r="S45" i="27"/>
  <c r="T45" i="27"/>
  <c r="E45" i="27" s="1"/>
  <c r="H45" i="27" s="1"/>
  <c r="K45" i="27" s="1"/>
  <c r="I45" i="27"/>
  <c r="Q45" i="27" s="1"/>
  <c r="R45" i="27" s="1"/>
  <c r="B47" i="27"/>
  <c r="BG46" i="27"/>
  <c r="BD46" i="27" s="1"/>
  <c r="AS46" i="27"/>
  <c r="AP46" i="27" s="1"/>
  <c r="V46" i="27"/>
  <c r="G46" i="27"/>
  <c r="J46" i="27" s="1"/>
  <c r="F46" i="27"/>
  <c r="L46" i="27" s="1"/>
  <c r="M46" i="27" s="1"/>
  <c r="A46" i="27"/>
  <c r="U44" i="27"/>
  <c r="W44" i="27" s="1"/>
  <c r="Y44" i="27" s="1"/>
  <c r="X43" i="27"/>
  <c r="Z42" i="27"/>
  <c r="AB42" i="27" s="1"/>
  <c r="BB46" i="26"/>
  <c r="BA46" i="26"/>
  <c r="AZ46" i="26"/>
  <c r="AQ46" i="26" s="1"/>
  <c r="N46" i="26" s="1"/>
  <c r="AY46" i="26"/>
  <c r="AX46" i="26"/>
  <c r="AW46" i="26"/>
  <c r="AV46" i="26"/>
  <c r="AU46" i="26"/>
  <c r="AT46" i="26"/>
  <c r="S45" i="26"/>
  <c r="T45" i="26"/>
  <c r="E45" i="26" s="1"/>
  <c r="H45" i="26" s="1"/>
  <c r="K45" i="26" s="1"/>
  <c r="I45" i="26"/>
  <c r="Q45" i="26" s="1"/>
  <c r="R45" i="26" s="1"/>
  <c r="B47" i="26"/>
  <c r="BG46" i="26"/>
  <c r="BD46" i="26" s="1"/>
  <c r="AS46" i="26"/>
  <c r="AP46" i="26" s="1"/>
  <c r="V46" i="26"/>
  <c r="G46" i="26"/>
  <c r="J46" i="26" s="1"/>
  <c r="F46" i="26"/>
  <c r="L46" i="26" s="1"/>
  <c r="M46" i="26" s="1"/>
  <c r="A46" i="26"/>
  <c r="U44" i="26"/>
  <c r="W44" i="26" s="1"/>
  <c r="Y44" i="26" s="1"/>
  <c r="X43" i="26"/>
  <c r="Z42" i="26"/>
  <c r="AB42" i="26" s="1"/>
  <c r="BB46" i="25"/>
  <c r="BA46" i="25"/>
  <c r="AZ46" i="25"/>
  <c r="AQ46" i="25" s="1"/>
  <c r="N46" i="25" s="1"/>
  <c r="AY46" i="25"/>
  <c r="AX46" i="25"/>
  <c r="AW46" i="25"/>
  <c r="AV46" i="25"/>
  <c r="AU46" i="25"/>
  <c r="AT46" i="25"/>
  <c r="S45" i="25"/>
  <c r="T45" i="25"/>
  <c r="E45" i="25" s="1"/>
  <c r="H45" i="25" s="1"/>
  <c r="K45" i="25" s="1"/>
  <c r="I45" i="25"/>
  <c r="Q45" i="25" s="1"/>
  <c r="R45" i="25" s="1"/>
  <c r="B47" i="25"/>
  <c r="BG46" i="25"/>
  <c r="BD46" i="25" s="1"/>
  <c r="AS46" i="25"/>
  <c r="AP46" i="25" s="1"/>
  <c r="V46" i="25"/>
  <c r="G46" i="25"/>
  <c r="J46" i="25" s="1"/>
  <c r="F46" i="25"/>
  <c r="L46" i="25" s="1"/>
  <c r="M46" i="25" s="1"/>
  <c r="A46" i="25"/>
  <c r="U44" i="25"/>
  <c r="W44" i="25" s="1"/>
  <c r="Y44" i="25" s="1"/>
  <c r="X43" i="25"/>
  <c r="Z42" i="25"/>
  <c r="AB42" i="25" s="1"/>
  <c r="BB46" i="24"/>
  <c r="BA46" i="24"/>
  <c r="AZ46" i="24"/>
  <c r="AQ46" i="24" s="1"/>
  <c r="N46" i="24" s="1"/>
  <c r="AY46" i="24"/>
  <c r="AX46" i="24"/>
  <c r="AW46" i="24"/>
  <c r="AV46" i="24"/>
  <c r="AU46" i="24"/>
  <c r="AT46" i="24"/>
  <c r="S45" i="24"/>
  <c r="T45" i="24"/>
  <c r="E45" i="24" s="1"/>
  <c r="H45" i="24" s="1"/>
  <c r="K45" i="24" s="1"/>
  <c r="I45" i="24"/>
  <c r="Q45" i="24" s="1"/>
  <c r="R45" i="24" s="1"/>
  <c r="B47" i="24"/>
  <c r="BG46" i="24"/>
  <c r="BD46" i="24" s="1"/>
  <c r="AS46" i="24"/>
  <c r="AP46" i="24" s="1"/>
  <c r="V46" i="24"/>
  <c r="G46" i="24"/>
  <c r="J46" i="24" s="1"/>
  <c r="F46" i="24"/>
  <c r="L46" i="24" s="1"/>
  <c r="M46" i="24" s="1"/>
  <c r="A46" i="24"/>
  <c r="U44" i="24"/>
  <c r="W44" i="24" s="1"/>
  <c r="Y44" i="24" s="1"/>
  <c r="X43" i="24"/>
  <c r="Z42" i="24"/>
  <c r="AB42" i="24" s="1"/>
  <c r="AI37" i="23"/>
  <c r="V26" i="23"/>
  <c r="AM38" i="23"/>
  <c r="AN38" i="23"/>
  <c r="X18" i="23"/>
  <c r="Z17" i="23"/>
  <c r="AB17" i="23" s="1"/>
  <c r="BB31" i="23"/>
  <c r="BA31" i="23"/>
  <c r="AZ31" i="23"/>
  <c r="AQ31" i="23" s="1"/>
  <c r="N31" i="23" s="1"/>
  <c r="AY31" i="23"/>
  <c r="AX31" i="23"/>
  <c r="AW31" i="23"/>
  <c r="AV31" i="23"/>
  <c r="AU31" i="23"/>
  <c r="AT31" i="23"/>
  <c r="I30" i="23"/>
  <c r="B32" i="23"/>
  <c r="BG31" i="23"/>
  <c r="BD31" i="23" s="1"/>
  <c r="AS31" i="23"/>
  <c r="AP31" i="23" s="1"/>
  <c r="G31" i="23"/>
  <c r="J31" i="23" s="1"/>
  <c r="F31" i="23"/>
  <c r="L31" i="23" s="1"/>
  <c r="M31" i="23" s="1"/>
  <c r="G33" i="10"/>
  <c r="F33" i="10"/>
  <c r="B32" i="10"/>
  <c r="BB47" i="27" l="1"/>
  <c r="BA47" i="27"/>
  <c r="AZ47" i="27"/>
  <c r="AQ47" i="27" s="1"/>
  <c r="N47" i="27" s="1"/>
  <c r="AY47" i="27"/>
  <c r="AX47" i="27"/>
  <c r="AW47" i="27"/>
  <c r="AV47" i="27"/>
  <c r="AU47" i="27"/>
  <c r="AT47" i="27"/>
  <c r="X44" i="27"/>
  <c r="Z43" i="27"/>
  <c r="AB43" i="27" s="1"/>
  <c r="S46" i="27"/>
  <c r="T46" i="27"/>
  <c r="E46" i="27" s="1"/>
  <c r="H46" i="27" s="1"/>
  <c r="K46" i="27" s="1"/>
  <c r="I46" i="27"/>
  <c r="Q46" i="27" s="1"/>
  <c r="R46" i="27" s="1"/>
  <c r="B48" i="27"/>
  <c r="BG47" i="27"/>
  <c r="BD47" i="27" s="1"/>
  <c r="AS47" i="27"/>
  <c r="AP47" i="27" s="1"/>
  <c r="V47" i="27"/>
  <c r="G47" i="27"/>
  <c r="J47" i="27" s="1"/>
  <c r="F47" i="27"/>
  <c r="L47" i="27" s="1"/>
  <c r="M47" i="27" s="1"/>
  <c r="A47" i="27"/>
  <c r="U45" i="27"/>
  <c r="W45" i="27" s="1"/>
  <c r="Y45" i="27" s="1"/>
  <c r="BB47" i="26"/>
  <c r="BA47" i="26"/>
  <c r="AZ47" i="26"/>
  <c r="AQ47" i="26" s="1"/>
  <c r="N47" i="26" s="1"/>
  <c r="AY47" i="26"/>
  <c r="AX47" i="26"/>
  <c r="AW47" i="26"/>
  <c r="AV47" i="26"/>
  <c r="AU47" i="26"/>
  <c r="AT47" i="26"/>
  <c r="X44" i="26"/>
  <c r="Z43" i="26"/>
  <c r="AB43" i="26" s="1"/>
  <c r="S46" i="26"/>
  <c r="T46" i="26"/>
  <c r="E46" i="26" s="1"/>
  <c r="H46" i="26" s="1"/>
  <c r="K46" i="26" s="1"/>
  <c r="I46" i="26"/>
  <c r="Q46" i="26" s="1"/>
  <c r="R46" i="26" s="1"/>
  <c r="B48" i="26"/>
  <c r="BG47" i="26"/>
  <c r="BD47" i="26" s="1"/>
  <c r="AS47" i="26"/>
  <c r="AP47" i="26" s="1"/>
  <c r="V47" i="26"/>
  <c r="G47" i="26"/>
  <c r="J47" i="26" s="1"/>
  <c r="F47" i="26"/>
  <c r="L47" i="26" s="1"/>
  <c r="M47" i="26" s="1"/>
  <c r="A47" i="26"/>
  <c r="U45" i="26"/>
  <c r="W45" i="26" s="1"/>
  <c r="Y45" i="26" s="1"/>
  <c r="BB47" i="25"/>
  <c r="BA47" i="25"/>
  <c r="AZ47" i="25"/>
  <c r="AQ47" i="25" s="1"/>
  <c r="N47" i="25" s="1"/>
  <c r="AY47" i="25"/>
  <c r="AX47" i="25"/>
  <c r="AW47" i="25"/>
  <c r="AV47" i="25"/>
  <c r="AU47" i="25"/>
  <c r="AT47" i="25"/>
  <c r="X44" i="25"/>
  <c r="Z43" i="25"/>
  <c r="AB43" i="25" s="1"/>
  <c r="S46" i="25"/>
  <c r="T46" i="25"/>
  <c r="E46" i="25" s="1"/>
  <c r="H46" i="25" s="1"/>
  <c r="K46" i="25" s="1"/>
  <c r="I46" i="25"/>
  <c r="Q46" i="25" s="1"/>
  <c r="R46" i="25" s="1"/>
  <c r="B48" i="25"/>
  <c r="BG47" i="25"/>
  <c r="BD47" i="25" s="1"/>
  <c r="AS47" i="25"/>
  <c r="AP47" i="25" s="1"/>
  <c r="V47" i="25"/>
  <c r="G47" i="25"/>
  <c r="J47" i="25" s="1"/>
  <c r="F47" i="25"/>
  <c r="L47" i="25" s="1"/>
  <c r="M47" i="25" s="1"/>
  <c r="A47" i="25"/>
  <c r="U45" i="25"/>
  <c r="W45" i="25" s="1"/>
  <c r="Y45" i="25" s="1"/>
  <c r="BB47" i="24"/>
  <c r="BA47" i="24"/>
  <c r="AZ47" i="24"/>
  <c r="AQ47" i="24" s="1"/>
  <c r="N47" i="24" s="1"/>
  <c r="AY47" i="24"/>
  <c r="AX47" i="24"/>
  <c r="AW47" i="24"/>
  <c r="AV47" i="24"/>
  <c r="AU47" i="24"/>
  <c r="AT47" i="24"/>
  <c r="X44" i="24"/>
  <c r="Z43" i="24"/>
  <c r="AB43" i="24" s="1"/>
  <c r="S46" i="24"/>
  <c r="T46" i="24"/>
  <c r="E46" i="24" s="1"/>
  <c r="H46" i="24" s="1"/>
  <c r="K46" i="24" s="1"/>
  <c r="I46" i="24"/>
  <c r="Q46" i="24" s="1"/>
  <c r="R46" i="24" s="1"/>
  <c r="B48" i="24"/>
  <c r="BG47" i="24"/>
  <c r="BD47" i="24" s="1"/>
  <c r="AS47" i="24"/>
  <c r="AP47" i="24" s="1"/>
  <c r="V47" i="24"/>
  <c r="G47" i="24"/>
  <c r="J47" i="24" s="1"/>
  <c r="F47" i="24"/>
  <c r="L47" i="24" s="1"/>
  <c r="M47" i="24" s="1"/>
  <c r="A47" i="24"/>
  <c r="U45" i="24"/>
  <c r="W45" i="24" s="1"/>
  <c r="Y45" i="24" s="1"/>
  <c r="AI38" i="23"/>
  <c r="V27" i="23"/>
  <c r="AM39" i="23"/>
  <c r="AN39" i="23"/>
  <c r="X19" i="23"/>
  <c r="Z18" i="23"/>
  <c r="AB18" i="23" s="1"/>
  <c r="BB32" i="23"/>
  <c r="BA32" i="23"/>
  <c r="AZ32" i="23"/>
  <c r="AQ32" i="23" s="1"/>
  <c r="N32" i="23" s="1"/>
  <c r="AY32" i="23"/>
  <c r="AX32" i="23"/>
  <c r="AW32" i="23"/>
  <c r="AV32" i="23"/>
  <c r="AU32" i="23"/>
  <c r="AT32" i="23"/>
  <c r="T31" i="23"/>
  <c r="E31" i="23" s="1"/>
  <c r="H31" i="23" s="1"/>
  <c r="K31" i="23" s="1"/>
  <c r="I31" i="23"/>
  <c r="Q31" i="23" s="1"/>
  <c r="B33" i="23"/>
  <c r="BG32" i="23"/>
  <c r="BD32" i="23" s="1"/>
  <c r="AS32" i="23"/>
  <c r="AP32" i="23" s="1"/>
  <c r="G32" i="23"/>
  <c r="J32" i="23" s="1"/>
  <c r="F32" i="23"/>
  <c r="L32" i="23" s="1"/>
  <c r="M32" i="23" s="1"/>
  <c r="G34" i="10"/>
  <c r="F34" i="10"/>
  <c r="B33" i="10"/>
  <c r="BB48" i="27" l="1"/>
  <c r="BA48" i="27"/>
  <c r="AZ48" i="27"/>
  <c r="AQ48" i="27" s="1"/>
  <c r="N48" i="27" s="1"/>
  <c r="AY48" i="27"/>
  <c r="AX48" i="27"/>
  <c r="AW48" i="27"/>
  <c r="AV48" i="27"/>
  <c r="AU48" i="27"/>
  <c r="AT48" i="27"/>
  <c r="S47" i="27"/>
  <c r="T47" i="27"/>
  <c r="E47" i="27" s="1"/>
  <c r="H47" i="27" s="1"/>
  <c r="K47" i="27" s="1"/>
  <c r="I47" i="27"/>
  <c r="Q47" i="27" s="1"/>
  <c r="R47" i="27" s="1"/>
  <c r="B49" i="27"/>
  <c r="BG48" i="27"/>
  <c r="BD48" i="27" s="1"/>
  <c r="AS48" i="27"/>
  <c r="AP48" i="27" s="1"/>
  <c r="V48" i="27"/>
  <c r="G48" i="27"/>
  <c r="J48" i="27" s="1"/>
  <c r="F48" i="27"/>
  <c r="L48" i="27" s="1"/>
  <c r="M48" i="27" s="1"/>
  <c r="A48" i="27"/>
  <c r="U46" i="27"/>
  <c r="W46" i="27" s="1"/>
  <c r="Y46" i="27" s="1"/>
  <c r="X45" i="27"/>
  <c r="Z44" i="27"/>
  <c r="AB44" i="27" s="1"/>
  <c r="BB48" i="26"/>
  <c r="BA48" i="26"/>
  <c r="AZ48" i="26"/>
  <c r="AQ48" i="26" s="1"/>
  <c r="N48" i="26" s="1"/>
  <c r="AY48" i="26"/>
  <c r="AX48" i="26"/>
  <c r="AW48" i="26"/>
  <c r="AV48" i="26"/>
  <c r="AU48" i="26"/>
  <c r="AT48" i="26"/>
  <c r="S47" i="26"/>
  <c r="T47" i="26"/>
  <c r="E47" i="26" s="1"/>
  <c r="H47" i="26" s="1"/>
  <c r="K47" i="26" s="1"/>
  <c r="I47" i="26"/>
  <c r="Q47" i="26" s="1"/>
  <c r="R47" i="26" s="1"/>
  <c r="B49" i="26"/>
  <c r="BG48" i="26"/>
  <c r="BD48" i="26" s="1"/>
  <c r="AS48" i="26"/>
  <c r="AP48" i="26" s="1"/>
  <c r="V48" i="26"/>
  <c r="G48" i="26"/>
  <c r="J48" i="26" s="1"/>
  <c r="F48" i="26"/>
  <c r="L48" i="26" s="1"/>
  <c r="M48" i="26" s="1"/>
  <c r="A48" i="26"/>
  <c r="U46" i="26"/>
  <c r="W46" i="26" s="1"/>
  <c r="Y46" i="26" s="1"/>
  <c r="X45" i="26"/>
  <c r="Z44" i="26"/>
  <c r="AB44" i="26" s="1"/>
  <c r="BB48" i="25"/>
  <c r="BA48" i="25"/>
  <c r="AZ48" i="25"/>
  <c r="AQ48" i="25" s="1"/>
  <c r="N48" i="25" s="1"/>
  <c r="AY48" i="25"/>
  <c r="AX48" i="25"/>
  <c r="AW48" i="25"/>
  <c r="AV48" i="25"/>
  <c r="AU48" i="25"/>
  <c r="AT48" i="25"/>
  <c r="S47" i="25"/>
  <c r="T47" i="25"/>
  <c r="E47" i="25" s="1"/>
  <c r="H47" i="25" s="1"/>
  <c r="K47" i="25" s="1"/>
  <c r="I47" i="25"/>
  <c r="Q47" i="25" s="1"/>
  <c r="R47" i="25" s="1"/>
  <c r="B49" i="25"/>
  <c r="BG48" i="25"/>
  <c r="BD48" i="25" s="1"/>
  <c r="AS48" i="25"/>
  <c r="AP48" i="25" s="1"/>
  <c r="V48" i="25"/>
  <c r="G48" i="25"/>
  <c r="J48" i="25" s="1"/>
  <c r="F48" i="25"/>
  <c r="L48" i="25" s="1"/>
  <c r="M48" i="25" s="1"/>
  <c r="A48" i="25"/>
  <c r="U46" i="25"/>
  <c r="W46" i="25" s="1"/>
  <c r="Y46" i="25" s="1"/>
  <c r="X45" i="25"/>
  <c r="Z44" i="25"/>
  <c r="AB44" i="25" s="1"/>
  <c r="BB48" i="24"/>
  <c r="BA48" i="24"/>
  <c r="AZ48" i="24"/>
  <c r="AQ48" i="24" s="1"/>
  <c r="N48" i="24" s="1"/>
  <c r="AY48" i="24"/>
  <c r="AX48" i="24"/>
  <c r="AW48" i="24"/>
  <c r="AV48" i="24"/>
  <c r="AU48" i="24"/>
  <c r="AT48" i="24"/>
  <c r="S47" i="24"/>
  <c r="T47" i="24"/>
  <c r="E47" i="24" s="1"/>
  <c r="H47" i="24" s="1"/>
  <c r="K47" i="24" s="1"/>
  <c r="I47" i="24"/>
  <c r="Q47" i="24" s="1"/>
  <c r="R47" i="24" s="1"/>
  <c r="B49" i="24"/>
  <c r="BG48" i="24"/>
  <c r="BD48" i="24" s="1"/>
  <c r="AS48" i="24"/>
  <c r="AP48" i="24" s="1"/>
  <c r="V48" i="24"/>
  <c r="G48" i="24"/>
  <c r="J48" i="24" s="1"/>
  <c r="F48" i="24"/>
  <c r="L48" i="24" s="1"/>
  <c r="M48" i="24" s="1"/>
  <c r="A48" i="24"/>
  <c r="U46" i="24"/>
  <c r="W46" i="24" s="1"/>
  <c r="Y46" i="24" s="1"/>
  <c r="X45" i="24"/>
  <c r="Z44" i="24"/>
  <c r="AB44" i="24" s="1"/>
  <c r="AI39" i="23"/>
  <c r="V28" i="23"/>
  <c r="AM40" i="23"/>
  <c r="AN40" i="23"/>
  <c r="Z19" i="23"/>
  <c r="AB19" i="23" s="1"/>
  <c r="BB33" i="23"/>
  <c r="BA33" i="23"/>
  <c r="AZ33" i="23"/>
  <c r="AQ33" i="23" s="1"/>
  <c r="N33" i="23" s="1"/>
  <c r="AY33" i="23"/>
  <c r="AX33" i="23"/>
  <c r="AW33" i="23"/>
  <c r="AV33" i="23"/>
  <c r="AU33" i="23"/>
  <c r="AT33" i="23"/>
  <c r="I32" i="23"/>
  <c r="B34" i="23"/>
  <c r="BG33" i="23"/>
  <c r="BD33" i="23" s="1"/>
  <c r="AS33" i="23"/>
  <c r="AP33" i="23" s="1"/>
  <c r="G33" i="23"/>
  <c r="J33" i="23" s="1"/>
  <c r="F33" i="23"/>
  <c r="L33" i="23" s="1"/>
  <c r="M33" i="23" s="1"/>
  <c r="G35" i="10"/>
  <c r="F35" i="10"/>
  <c r="B34" i="10"/>
  <c r="BB49" i="27" l="1"/>
  <c r="BA49" i="27"/>
  <c r="AZ49" i="27"/>
  <c r="AQ49" i="27" s="1"/>
  <c r="N49" i="27" s="1"/>
  <c r="AY49" i="27"/>
  <c r="AX49" i="27"/>
  <c r="AW49" i="27"/>
  <c r="AV49" i="27"/>
  <c r="AU49" i="27"/>
  <c r="AT49" i="27"/>
  <c r="X46" i="27"/>
  <c r="Z45" i="27"/>
  <c r="AB45" i="27" s="1"/>
  <c r="S48" i="27"/>
  <c r="T48" i="27"/>
  <c r="E48" i="27" s="1"/>
  <c r="H48" i="27" s="1"/>
  <c r="K48" i="27" s="1"/>
  <c r="I48" i="27"/>
  <c r="Q48" i="27" s="1"/>
  <c r="R48" i="27" s="1"/>
  <c r="B50" i="27"/>
  <c r="BG49" i="27"/>
  <c r="BD49" i="27" s="1"/>
  <c r="AS49" i="27"/>
  <c r="AP49" i="27" s="1"/>
  <c r="V49" i="27"/>
  <c r="G49" i="27"/>
  <c r="J49" i="27" s="1"/>
  <c r="F49" i="27"/>
  <c r="L49" i="27" s="1"/>
  <c r="M49" i="27" s="1"/>
  <c r="A49" i="27"/>
  <c r="U47" i="27"/>
  <c r="W47" i="27" s="1"/>
  <c r="Y47" i="27" s="1"/>
  <c r="AC46" i="27"/>
  <c r="BB49" i="26"/>
  <c r="BA49" i="26"/>
  <c r="AZ49" i="26"/>
  <c r="AQ49" i="26" s="1"/>
  <c r="N49" i="26" s="1"/>
  <c r="AY49" i="26"/>
  <c r="AX49" i="26"/>
  <c r="AW49" i="26"/>
  <c r="AV49" i="26"/>
  <c r="AU49" i="26"/>
  <c r="AT49" i="26"/>
  <c r="X46" i="26"/>
  <c r="Z45" i="26"/>
  <c r="AB45" i="26" s="1"/>
  <c r="S48" i="26"/>
  <c r="T48" i="26"/>
  <c r="E48" i="26" s="1"/>
  <c r="H48" i="26" s="1"/>
  <c r="K48" i="26" s="1"/>
  <c r="I48" i="26"/>
  <c r="Q48" i="26" s="1"/>
  <c r="R48" i="26" s="1"/>
  <c r="B50" i="26"/>
  <c r="BG49" i="26"/>
  <c r="BD49" i="26" s="1"/>
  <c r="AS49" i="26"/>
  <c r="AP49" i="26" s="1"/>
  <c r="V49" i="26"/>
  <c r="G49" i="26"/>
  <c r="J49" i="26" s="1"/>
  <c r="F49" i="26"/>
  <c r="L49" i="26" s="1"/>
  <c r="M49" i="26" s="1"/>
  <c r="A49" i="26"/>
  <c r="U47" i="26"/>
  <c r="W47" i="26" s="1"/>
  <c r="Y47" i="26" s="1"/>
  <c r="AC46" i="26"/>
  <c r="BB49" i="25"/>
  <c r="BA49" i="25"/>
  <c r="AZ49" i="25"/>
  <c r="AQ49" i="25" s="1"/>
  <c r="N49" i="25" s="1"/>
  <c r="AY49" i="25"/>
  <c r="AX49" i="25"/>
  <c r="AW49" i="25"/>
  <c r="AV49" i="25"/>
  <c r="AU49" i="25"/>
  <c r="AT49" i="25"/>
  <c r="X46" i="25"/>
  <c r="Z45" i="25"/>
  <c r="AB45" i="25" s="1"/>
  <c r="S48" i="25"/>
  <c r="T48" i="25"/>
  <c r="E48" i="25" s="1"/>
  <c r="H48" i="25" s="1"/>
  <c r="K48" i="25" s="1"/>
  <c r="I48" i="25"/>
  <c r="Q48" i="25" s="1"/>
  <c r="R48" i="25" s="1"/>
  <c r="B50" i="25"/>
  <c r="BG49" i="25"/>
  <c r="BD49" i="25" s="1"/>
  <c r="AS49" i="25"/>
  <c r="AP49" i="25" s="1"/>
  <c r="V49" i="25"/>
  <c r="G49" i="25"/>
  <c r="J49" i="25" s="1"/>
  <c r="F49" i="25"/>
  <c r="L49" i="25" s="1"/>
  <c r="M49" i="25" s="1"/>
  <c r="A49" i="25"/>
  <c r="U47" i="25"/>
  <c r="W47" i="25" s="1"/>
  <c r="Y47" i="25" s="1"/>
  <c r="AC46" i="25"/>
  <c r="BB49" i="24"/>
  <c r="BA49" i="24"/>
  <c r="AZ49" i="24"/>
  <c r="AQ49" i="24" s="1"/>
  <c r="N49" i="24" s="1"/>
  <c r="AY49" i="24"/>
  <c r="AX49" i="24"/>
  <c r="AW49" i="24"/>
  <c r="AV49" i="24"/>
  <c r="AU49" i="24"/>
  <c r="AT49" i="24"/>
  <c r="X46" i="24"/>
  <c r="Z45" i="24"/>
  <c r="AB45" i="24" s="1"/>
  <c r="S48" i="24"/>
  <c r="T48" i="24"/>
  <c r="E48" i="24" s="1"/>
  <c r="H48" i="24" s="1"/>
  <c r="K48" i="24" s="1"/>
  <c r="I48" i="24"/>
  <c r="Q48" i="24" s="1"/>
  <c r="R48" i="24" s="1"/>
  <c r="B50" i="24"/>
  <c r="BG49" i="24"/>
  <c r="BD49" i="24" s="1"/>
  <c r="AS49" i="24"/>
  <c r="AP49" i="24" s="1"/>
  <c r="V49" i="24"/>
  <c r="G49" i="24"/>
  <c r="J49" i="24" s="1"/>
  <c r="F49" i="24"/>
  <c r="L49" i="24" s="1"/>
  <c r="M49" i="24" s="1"/>
  <c r="A49" i="24"/>
  <c r="U47" i="24"/>
  <c r="W47" i="24" s="1"/>
  <c r="Y47" i="24" s="1"/>
  <c r="AC46" i="24"/>
  <c r="AI40" i="23"/>
  <c r="V29" i="23"/>
  <c r="AM41" i="23"/>
  <c r="AN41" i="23"/>
  <c r="BB34" i="23"/>
  <c r="BA34" i="23"/>
  <c r="AZ34" i="23"/>
  <c r="AQ34" i="23" s="1"/>
  <c r="N34" i="23" s="1"/>
  <c r="AY34" i="23"/>
  <c r="AX34" i="23"/>
  <c r="AW34" i="23"/>
  <c r="AV34" i="23"/>
  <c r="AU34" i="23"/>
  <c r="AT34" i="23"/>
  <c r="T33" i="23"/>
  <c r="E33" i="23" s="1"/>
  <c r="H33" i="23" s="1"/>
  <c r="K33" i="23" s="1"/>
  <c r="I33" i="23"/>
  <c r="Q33" i="23" s="1"/>
  <c r="B35" i="23"/>
  <c r="BG34" i="23"/>
  <c r="BD34" i="23" s="1"/>
  <c r="AS34" i="23"/>
  <c r="AP34" i="23" s="1"/>
  <c r="G34" i="23"/>
  <c r="J34" i="23" s="1"/>
  <c r="F34" i="23"/>
  <c r="L34" i="23" s="1"/>
  <c r="M34" i="23" s="1"/>
  <c r="G36" i="10"/>
  <c r="F36" i="10"/>
  <c r="B35" i="10"/>
  <c r="BB50" i="27" l="1"/>
  <c r="BA50" i="27"/>
  <c r="AZ50" i="27"/>
  <c r="AQ50" i="27" s="1"/>
  <c r="N50" i="27" s="1"/>
  <c r="AY50" i="27"/>
  <c r="AX50" i="27"/>
  <c r="AW50" i="27"/>
  <c r="AV50" i="27"/>
  <c r="AU50" i="27"/>
  <c r="AT50" i="27"/>
  <c r="S49" i="27"/>
  <c r="T49" i="27"/>
  <c r="E49" i="27" s="1"/>
  <c r="H49" i="27" s="1"/>
  <c r="K49" i="27" s="1"/>
  <c r="I49" i="27"/>
  <c r="Q49" i="27" s="1"/>
  <c r="R49" i="27" s="1"/>
  <c r="B51" i="27"/>
  <c r="BG50" i="27"/>
  <c r="BD50" i="27" s="1"/>
  <c r="AS50" i="27"/>
  <c r="AP50" i="27" s="1"/>
  <c r="V50" i="27"/>
  <c r="G50" i="27"/>
  <c r="J50" i="27" s="1"/>
  <c r="F50" i="27"/>
  <c r="L50" i="27" s="1"/>
  <c r="M50" i="27" s="1"/>
  <c r="A50" i="27"/>
  <c r="U48" i="27"/>
  <c r="W48" i="27" s="1"/>
  <c r="Y48" i="27" s="1"/>
  <c r="X47" i="27"/>
  <c r="Z46" i="27"/>
  <c r="AB46" i="27" s="1"/>
  <c r="BB50" i="26"/>
  <c r="BA50" i="26"/>
  <c r="AZ50" i="26"/>
  <c r="AQ50" i="26" s="1"/>
  <c r="N50" i="26" s="1"/>
  <c r="AY50" i="26"/>
  <c r="AX50" i="26"/>
  <c r="AW50" i="26"/>
  <c r="AV50" i="26"/>
  <c r="AU50" i="26"/>
  <c r="AT50" i="26"/>
  <c r="S49" i="26"/>
  <c r="T49" i="26"/>
  <c r="E49" i="26" s="1"/>
  <c r="H49" i="26" s="1"/>
  <c r="K49" i="26" s="1"/>
  <c r="I49" i="26"/>
  <c r="Q49" i="26" s="1"/>
  <c r="R49" i="26" s="1"/>
  <c r="B51" i="26"/>
  <c r="BG50" i="26"/>
  <c r="BD50" i="26" s="1"/>
  <c r="AS50" i="26"/>
  <c r="AP50" i="26" s="1"/>
  <c r="V50" i="26"/>
  <c r="G50" i="26"/>
  <c r="J50" i="26" s="1"/>
  <c r="F50" i="26"/>
  <c r="L50" i="26" s="1"/>
  <c r="M50" i="26" s="1"/>
  <c r="A50" i="26"/>
  <c r="U48" i="26"/>
  <c r="W48" i="26" s="1"/>
  <c r="Y48" i="26" s="1"/>
  <c r="X47" i="26"/>
  <c r="Z46" i="26"/>
  <c r="AB46" i="26" s="1"/>
  <c r="BB50" i="25"/>
  <c r="BA50" i="25"/>
  <c r="AZ50" i="25"/>
  <c r="AQ50" i="25" s="1"/>
  <c r="N50" i="25" s="1"/>
  <c r="AY50" i="25"/>
  <c r="AX50" i="25"/>
  <c r="AW50" i="25"/>
  <c r="AV50" i="25"/>
  <c r="AU50" i="25"/>
  <c r="AT50" i="25"/>
  <c r="S49" i="25"/>
  <c r="T49" i="25"/>
  <c r="E49" i="25" s="1"/>
  <c r="H49" i="25" s="1"/>
  <c r="K49" i="25" s="1"/>
  <c r="I49" i="25"/>
  <c r="Q49" i="25" s="1"/>
  <c r="R49" i="25" s="1"/>
  <c r="B51" i="25"/>
  <c r="BG50" i="25"/>
  <c r="BD50" i="25" s="1"/>
  <c r="AS50" i="25"/>
  <c r="AP50" i="25" s="1"/>
  <c r="V50" i="25"/>
  <c r="G50" i="25"/>
  <c r="J50" i="25" s="1"/>
  <c r="F50" i="25"/>
  <c r="L50" i="25" s="1"/>
  <c r="M50" i="25" s="1"/>
  <c r="A50" i="25"/>
  <c r="U48" i="25"/>
  <c r="W48" i="25" s="1"/>
  <c r="Y48" i="25" s="1"/>
  <c r="X47" i="25"/>
  <c r="Z46" i="25"/>
  <c r="AB46" i="25" s="1"/>
  <c r="BB50" i="24"/>
  <c r="BA50" i="24"/>
  <c r="AZ50" i="24"/>
  <c r="AQ50" i="24" s="1"/>
  <c r="N50" i="24" s="1"/>
  <c r="AY50" i="24"/>
  <c r="AX50" i="24"/>
  <c r="AW50" i="24"/>
  <c r="AV50" i="24"/>
  <c r="AU50" i="24"/>
  <c r="AT50" i="24"/>
  <c r="S49" i="24"/>
  <c r="T49" i="24"/>
  <c r="E49" i="24" s="1"/>
  <c r="H49" i="24" s="1"/>
  <c r="K49" i="24" s="1"/>
  <c r="I49" i="24"/>
  <c r="Q49" i="24" s="1"/>
  <c r="R49" i="24" s="1"/>
  <c r="B51" i="24"/>
  <c r="BG50" i="24"/>
  <c r="BD50" i="24" s="1"/>
  <c r="AS50" i="24"/>
  <c r="AP50" i="24" s="1"/>
  <c r="V50" i="24"/>
  <c r="G50" i="24"/>
  <c r="J50" i="24" s="1"/>
  <c r="F50" i="24"/>
  <c r="L50" i="24" s="1"/>
  <c r="M50" i="24" s="1"/>
  <c r="A50" i="24"/>
  <c r="U48" i="24"/>
  <c r="W48" i="24" s="1"/>
  <c r="Y48" i="24" s="1"/>
  <c r="X47" i="24"/>
  <c r="Z46" i="24"/>
  <c r="AB46" i="24" s="1"/>
  <c r="AI41" i="23"/>
  <c r="V30" i="23"/>
  <c r="AM42" i="23"/>
  <c r="AN42" i="23"/>
  <c r="BB35" i="23"/>
  <c r="BA35" i="23"/>
  <c r="AZ35" i="23"/>
  <c r="AQ35" i="23" s="1"/>
  <c r="N35" i="23" s="1"/>
  <c r="AY35" i="23"/>
  <c r="AX35" i="23"/>
  <c r="AW35" i="23"/>
  <c r="AV35" i="23"/>
  <c r="AU35" i="23"/>
  <c r="AT35" i="23"/>
  <c r="I34" i="23"/>
  <c r="B36" i="23"/>
  <c r="BG35" i="23"/>
  <c r="BD35" i="23" s="1"/>
  <c r="AS35" i="23"/>
  <c r="AP35" i="23" s="1"/>
  <c r="G35" i="23"/>
  <c r="J35" i="23" s="1"/>
  <c r="F35" i="23"/>
  <c r="L35" i="23" s="1"/>
  <c r="M35" i="23" s="1"/>
  <c r="G37" i="10"/>
  <c r="F37" i="10"/>
  <c r="B36" i="10"/>
  <c r="BB51" i="27" l="1"/>
  <c r="BA51" i="27"/>
  <c r="AZ51" i="27"/>
  <c r="AQ51" i="27" s="1"/>
  <c r="N51" i="27" s="1"/>
  <c r="AY51" i="27"/>
  <c r="AX51" i="27"/>
  <c r="AW51" i="27"/>
  <c r="AV51" i="27"/>
  <c r="AU51" i="27"/>
  <c r="AT51" i="27"/>
  <c r="X48" i="27"/>
  <c r="Z47" i="27"/>
  <c r="AB47" i="27" s="1"/>
  <c r="S50" i="27"/>
  <c r="T50" i="27"/>
  <c r="E50" i="27" s="1"/>
  <c r="H50" i="27" s="1"/>
  <c r="K50" i="27" s="1"/>
  <c r="I50" i="27"/>
  <c r="Q50" i="27" s="1"/>
  <c r="R50" i="27" s="1"/>
  <c r="B52" i="27"/>
  <c r="BG51" i="27"/>
  <c r="BD51" i="27" s="1"/>
  <c r="AS51" i="27"/>
  <c r="AP51" i="27" s="1"/>
  <c r="V51" i="27"/>
  <c r="G51" i="27"/>
  <c r="J51" i="27" s="1"/>
  <c r="F51" i="27"/>
  <c r="L51" i="27" s="1"/>
  <c r="M51" i="27" s="1"/>
  <c r="A51" i="27"/>
  <c r="U49" i="27"/>
  <c r="W49" i="27" s="1"/>
  <c r="Y49" i="27" s="1"/>
  <c r="BB51" i="26"/>
  <c r="BA51" i="26"/>
  <c r="AZ51" i="26"/>
  <c r="AQ51" i="26" s="1"/>
  <c r="N51" i="26" s="1"/>
  <c r="AY51" i="26"/>
  <c r="AX51" i="26"/>
  <c r="AW51" i="26"/>
  <c r="AV51" i="26"/>
  <c r="AU51" i="26"/>
  <c r="AT51" i="26"/>
  <c r="X48" i="26"/>
  <c r="Z47" i="26"/>
  <c r="AB47" i="26" s="1"/>
  <c r="S50" i="26"/>
  <c r="T50" i="26"/>
  <c r="E50" i="26" s="1"/>
  <c r="H50" i="26" s="1"/>
  <c r="K50" i="26" s="1"/>
  <c r="I50" i="26"/>
  <c r="Q50" i="26" s="1"/>
  <c r="R50" i="26" s="1"/>
  <c r="B52" i="26"/>
  <c r="BG51" i="26"/>
  <c r="BD51" i="26" s="1"/>
  <c r="AS51" i="26"/>
  <c r="AP51" i="26" s="1"/>
  <c r="V51" i="26"/>
  <c r="G51" i="26"/>
  <c r="J51" i="26" s="1"/>
  <c r="F51" i="26"/>
  <c r="L51" i="26" s="1"/>
  <c r="M51" i="26" s="1"/>
  <c r="A51" i="26"/>
  <c r="U49" i="26"/>
  <c r="W49" i="26" s="1"/>
  <c r="Y49" i="26" s="1"/>
  <c r="BB51" i="25"/>
  <c r="BA51" i="25"/>
  <c r="AZ51" i="25"/>
  <c r="AQ51" i="25" s="1"/>
  <c r="N51" i="25" s="1"/>
  <c r="AY51" i="25"/>
  <c r="AX51" i="25"/>
  <c r="AW51" i="25"/>
  <c r="AV51" i="25"/>
  <c r="AU51" i="25"/>
  <c r="AT51" i="25"/>
  <c r="X48" i="25"/>
  <c r="Z47" i="25"/>
  <c r="AB47" i="25" s="1"/>
  <c r="S50" i="25"/>
  <c r="T50" i="25"/>
  <c r="E50" i="25" s="1"/>
  <c r="H50" i="25" s="1"/>
  <c r="K50" i="25" s="1"/>
  <c r="I50" i="25"/>
  <c r="Q50" i="25" s="1"/>
  <c r="R50" i="25" s="1"/>
  <c r="B52" i="25"/>
  <c r="BG51" i="25"/>
  <c r="BD51" i="25" s="1"/>
  <c r="AS51" i="25"/>
  <c r="AP51" i="25" s="1"/>
  <c r="V51" i="25"/>
  <c r="G51" i="25"/>
  <c r="J51" i="25" s="1"/>
  <c r="F51" i="25"/>
  <c r="L51" i="25" s="1"/>
  <c r="M51" i="25" s="1"/>
  <c r="A51" i="25"/>
  <c r="U49" i="25"/>
  <c r="W49" i="25" s="1"/>
  <c r="Y49" i="25" s="1"/>
  <c r="BB51" i="24"/>
  <c r="BA51" i="24"/>
  <c r="AZ51" i="24"/>
  <c r="AQ51" i="24" s="1"/>
  <c r="N51" i="24" s="1"/>
  <c r="AY51" i="24"/>
  <c r="AX51" i="24"/>
  <c r="AW51" i="24"/>
  <c r="AV51" i="24"/>
  <c r="AU51" i="24"/>
  <c r="AT51" i="24"/>
  <c r="X48" i="24"/>
  <c r="Z47" i="24"/>
  <c r="AB47" i="24" s="1"/>
  <c r="S50" i="24"/>
  <c r="T50" i="24"/>
  <c r="E50" i="24" s="1"/>
  <c r="H50" i="24" s="1"/>
  <c r="K50" i="24" s="1"/>
  <c r="I50" i="24"/>
  <c r="Q50" i="24" s="1"/>
  <c r="R50" i="24" s="1"/>
  <c r="B52" i="24"/>
  <c r="BG51" i="24"/>
  <c r="BD51" i="24" s="1"/>
  <c r="AS51" i="24"/>
  <c r="AP51" i="24" s="1"/>
  <c r="V51" i="24"/>
  <c r="G51" i="24"/>
  <c r="J51" i="24" s="1"/>
  <c r="F51" i="24"/>
  <c r="L51" i="24" s="1"/>
  <c r="M51" i="24" s="1"/>
  <c r="A51" i="24"/>
  <c r="U49" i="24"/>
  <c r="W49" i="24" s="1"/>
  <c r="Y49" i="24" s="1"/>
  <c r="AI42" i="23"/>
  <c r="V31" i="23"/>
  <c r="AM43" i="23"/>
  <c r="AN43" i="23"/>
  <c r="BB36" i="23"/>
  <c r="BA36" i="23"/>
  <c r="AZ36" i="23"/>
  <c r="AQ36" i="23" s="1"/>
  <c r="N36" i="23" s="1"/>
  <c r="AY36" i="23"/>
  <c r="AX36" i="23"/>
  <c r="AW36" i="23"/>
  <c r="AV36" i="23"/>
  <c r="AU36" i="23"/>
  <c r="AT36" i="23"/>
  <c r="T35" i="23"/>
  <c r="E35" i="23" s="1"/>
  <c r="H35" i="23" s="1"/>
  <c r="K35" i="23" s="1"/>
  <c r="I35" i="23"/>
  <c r="Q35" i="23" s="1"/>
  <c r="B37" i="23"/>
  <c r="BG36" i="23"/>
  <c r="BD36" i="23" s="1"/>
  <c r="AS36" i="23"/>
  <c r="AP36" i="23" s="1"/>
  <c r="G36" i="23"/>
  <c r="J36" i="23" s="1"/>
  <c r="F36" i="23"/>
  <c r="L36" i="23" s="1"/>
  <c r="M36" i="23" s="1"/>
  <c r="G38" i="10"/>
  <c r="F38" i="10"/>
  <c r="B37" i="10"/>
  <c r="BB52" i="27" l="1"/>
  <c r="BA52" i="27"/>
  <c r="AZ52" i="27"/>
  <c r="AQ52" i="27" s="1"/>
  <c r="N52" i="27" s="1"/>
  <c r="AY52" i="27"/>
  <c r="AX52" i="27"/>
  <c r="AW52" i="27"/>
  <c r="AV52" i="27"/>
  <c r="AU52" i="27"/>
  <c r="AT52" i="27"/>
  <c r="S51" i="27"/>
  <c r="T51" i="27"/>
  <c r="E51" i="27" s="1"/>
  <c r="H51" i="27" s="1"/>
  <c r="K51" i="27" s="1"/>
  <c r="I51" i="27"/>
  <c r="Q51" i="27" s="1"/>
  <c r="R51" i="27" s="1"/>
  <c r="B53" i="27"/>
  <c r="BG52" i="27"/>
  <c r="BD52" i="27" s="1"/>
  <c r="AS52" i="27"/>
  <c r="AP52" i="27" s="1"/>
  <c r="V52" i="27"/>
  <c r="G52" i="27"/>
  <c r="J52" i="27" s="1"/>
  <c r="F52" i="27"/>
  <c r="L52" i="27" s="1"/>
  <c r="M52" i="27" s="1"/>
  <c r="A52" i="27"/>
  <c r="U50" i="27"/>
  <c r="W50" i="27" s="1"/>
  <c r="Y50" i="27" s="1"/>
  <c r="X49" i="27"/>
  <c r="Z48" i="27"/>
  <c r="AB48" i="27" s="1"/>
  <c r="BB52" i="26"/>
  <c r="BA52" i="26"/>
  <c r="AZ52" i="26"/>
  <c r="AQ52" i="26" s="1"/>
  <c r="N52" i="26" s="1"/>
  <c r="AY52" i="26"/>
  <c r="AX52" i="26"/>
  <c r="AW52" i="26"/>
  <c r="AV52" i="26"/>
  <c r="AU52" i="26"/>
  <c r="AT52" i="26"/>
  <c r="S51" i="26"/>
  <c r="T51" i="26"/>
  <c r="E51" i="26" s="1"/>
  <c r="H51" i="26" s="1"/>
  <c r="K51" i="26" s="1"/>
  <c r="I51" i="26"/>
  <c r="Q51" i="26" s="1"/>
  <c r="R51" i="26" s="1"/>
  <c r="B53" i="26"/>
  <c r="BG52" i="26"/>
  <c r="BD52" i="26" s="1"/>
  <c r="AS52" i="26"/>
  <c r="AP52" i="26" s="1"/>
  <c r="V52" i="26"/>
  <c r="G52" i="26"/>
  <c r="J52" i="26" s="1"/>
  <c r="F52" i="26"/>
  <c r="L52" i="26" s="1"/>
  <c r="M52" i="26" s="1"/>
  <c r="A52" i="26"/>
  <c r="U50" i="26"/>
  <c r="W50" i="26" s="1"/>
  <c r="Y50" i="26" s="1"/>
  <c r="X49" i="26"/>
  <c r="Z48" i="26"/>
  <c r="AB48" i="26" s="1"/>
  <c r="BB52" i="25"/>
  <c r="BA52" i="25"/>
  <c r="AZ52" i="25"/>
  <c r="AQ52" i="25" s="1"/>
  <c r="N52" i="25" s="1"/>
  <c r="AY52" i="25"/>
  <c r="AX52" i="25"/>
  <c r="AW52" i="25"/>
  <c r="AV52" i="25"/>
  <c r="AU52" i="25"/>
  <c r="AT52" i="25"/>
  <c r="S51" i="25"/>
  <c r="T51" i="25"/>
  <c r="E51" i="25" s="1"/>
  <c r="H51" i="25" s="1"/>
  <c r="K51" i="25" s="1"/>
  <c r="I51" i="25"/>
  <c r="Q51" i="25" s="1"/>
  <c r="R51" i="25" s="1"/>
  <c r="B53" i="25"/>
  <c r="BG52" i="25"/>
  <c r="BD52" i="25" s="1"/>
  <c r="AS52" i="25"/>
  <c r="AP52" i="25" s="1"/>
  <c r="V52" i="25"/>
  <c r="G52" i="25"/>
  <c r="J52" i="25" s="1"/>
  <c r="F52" i="25"/>
  <c r="L52" i="25" s="1"/>
  <c r="M52" i="25" s="1"/>
  <c r="A52" i="25"/>
  <c r="U50" i="25"/>
  <c r="W50" i="25" s="1"/>
  <c r="Y50" i="25" s="1"/>
  <c r="X49" i="25"/>
  <c r="Z48" i="25"/>
  <c r="AB48" i="25" s="1"/>
  <c r="BB52" i="24"/>
  <c r="BA52" i="24"/>
  <c r="AZ52" i="24"/>
  <c r="AQ52" i="24" s="1"/>
  <c r="N52" i="24" s="1"/>
  <c r="AY52" i="24"/>
  <c r="AX52" i="24"/>
  <c r="AW52" i="24"/>
  <c r="AV52" i="24"/>
  <c r="AU52" i="24"/>
  <c r="AT52" i="24"/>
  <c r="S51" i="24"/>
  <c r="T51" i="24"/>
  <c r="E51" i="24" s="1"/>
  <c r="H51" i="24" s="1"/>
  <c r="K51" i="24" s="1"/>
  <c r="I51" i="24"/>
  <c r="Q51" i="24" s="1"/>
  <c r="R51" i="24" s="1"/>
  <c r="B53" i="24"/>
  <c r="BG52" i="24"/>
  <c r="BD52" i="24" s="1"/>
  <c r="AS52" i="24"/>
  <c r="AP52" i="24" s="1"/>
  <c r="V52" i="24"/>
  <c r="G52" i="24"/>
  <c r="J52" i="24" s="1"/>
  <c r="F52" i="24"/>
  <c r="L52" i="24" s="1"/>
  <c r="M52" i="24" s="1"/>
  <c r="A52" i="24"/>
  <c r="U50" i="24"/>
  <c r="W50" i="24" s="1"/>
  <c r="Y50" i="24" s="1"/>
  <c r="X49" i="24"/>
  <c r="Z48" i="24"/>
  <c r="AB48" i="24" s="1"/>
  <c r="AI43" i="23"/>
  <c r="V32" i="23"/>
  <c r="AM44" i="23"/>
  <c r="AN44" i="23"/>
  <c r="BB37" i="23"/>
  <c r="BA37" i="23"/>
  <c r="AZ37" i="23"/>
  <c r="AQ37" i="23" s="1"/>
  <c r="N37" i="23" s="1"/>
  <c r="AY37" i="23"/>
  <c r="AX37" i="23"/>
  <c r="AW37" i="23"/>
  <c r="AV37" i="23"/>
  <c r="AU37" i="23"/>
  <c r="AT37" i="23"/>
  <c r="I36" i="23"/>
  <c r="B38" i="23"/>
  <c r="BG37" i="23"/>
  <c r="BD37" i="23" s="1"/>
  <c r="AS37" i="23"/>
  <c r="AP37" i="23" s="1"/>
  <c r="G37" i="23"/>
  <c r="J37" i="23" s="1"/>
  <c r="F37" i="23"/>
  <c r="L37" i="23" s="1"/>
  <c r="M37" i="23" s="1"/>
  <c r="G39" i="10"/>
  <c r="F39" i="10"/>
  <c r="B38" i="10"/>
  <c r="BB53" i="27" l="1"/>
  <c r="BA53" i="27"/>
  <c r="AZ53" i="27"/>
  <c r="AQ53" i="27" s="1"/>
  <c r="N53" i="27" s="1"/>
  <c r="AY53" i="27"/>
  <c r="AX53" i="27"/>
  <c r="AW53" i="27"/>
  <c r="AV53" i="27"/>
  <c r="AU53" i="27"/>
  <c r="AT53" i="27"/>
  <c r="X50" i="27"/>
  <c r="Z49" i="27"/>
  <c r="AB49" i="27" s="1"/>
  <c r="S52" i="27"/>
  <c r="T52" i="27"/>
  <c r="E52" i="27" s="1"/>
  <c r="H52" i="27" s="1"/>
  <c r="K52" i="27" s="1"/>
  <c r="I52" i="27"/>
  <c r="Q52" i="27" s="1"/>
  <c r="R52" i="27" s="1"/>
  <c r="BG53" i="27"/>
  <c r="BD53" i="27" s="1"/>
  <c r="AS53" i="27"/>
  <c r="AP53" i="27" s="1"/>
  <c r="V53" i="27"/>
  <c r="G53" i="27"/>
  <c r="J53" i="27" s="1"/>
  <c r="F53" i="27"/>
  <c r="L53" i="27" s="1"/>
  <c r="M53" i="27" s="1"/>
  <c r="A53" i="27"/>
  <c r="U51" i="27"/>
  <c r="W51" i="27" s="1"/>
  <c r="Y51" i="27" s="1"/>
  <c r="BB53" i="26"/>
  <c r="BA53" i="26"/>
  <c r="AZ53" i="26"/>
  <c r="AQ53" i="26" s="1"/>
  <c r="N53" i="26" s="1"/>
  <c r="AY53" i="26"/>
  <c r="AX53" i="26"/>
  <c r="AW53" i="26"/>
  <c r="AV53" i="26"/>
  <c r="AU53" i="26"/>
  <c r="AT53" i="26"/>
  <c r="X50" i="26"/>
  <c r="Z49" i="26"/>
  <c r="AB49" i="26" s="1"/>
  <c r="S52" i="26"/>
  <c r="T52" i="26"/>
  <c r="E52" i="26" s="1"/>
  <c r="H52" i="26" s="1"/>
  <c r="K52" i="26" s="1"/>
  <c r="I52" i="26"/>
  <c r="Q52" i="26" s="1"/>
  <c r="R52" i="26" s="1"/>
  <c r="BG53" i="26"/>
  <c r="BD53" i="26" s="1"/>
  <c r="AS53" i="26"/>
  <c r="AP53" i="26" s="1"/>
  <c r="V53" i="26"/>
  <c r="G53" i="26"/>
  <c r="J53" i="26" s="1"/>
  <c r="F53" i="26"/>
  <c r="L53" i="26" s="1"/>
  <c r="M53" i="26" s="1"/>
  <c r="A53" i="26"/>
  <c r="U51" i="26"/>
  <c r="W51" i="26" s="1"/>
  <c r="Y51" i="26" s="1"/>
  <c r="BB53" i="25"/>
  <c r="BA53" i="25"/>
  <c r="AZ53" i="25"/>
  <c r="AQ53" i="25" s="1"/>
  <c r="N53" i="25" s="1"/>
  <c r="AY53" i="25"/>
  <c r="AX53" i="25"/>
  <c r="AW53" i="25"/>
  <c r="AV53" i="25"/>
  <c r="AU53" i="25"/>
  <c r="AT53" i="25"/>
  <c r="X50" i="25"/>
  <c r="Z49" i="25"/>
  <c r="AB49" i="25" s="1"/>
  <c r="S52" i="25"/>
  <c r="T52" i="25"/>
  <c r="E52" i="25" s="1"/>
  <c r="H52" i="25" s="1"/>
  <c r="K52" i="25" s="1"/>
  <c r="I52" i="25"/>
  <c r="Q52" i="25" s="1"/>
  <c r="R52" i="25" s="1"/>
  <c r="BG53" i="25"/>
  <c r="BD53" i="25" s="1"/>
  <c r="AS53" i="25"/>
  <c r="AP53" i="25" s="1"/>
  <c r="V53" i="25"/>
  <c r="G53" i="25"/>
  <c r="J53" i="25" s="1"/>
  <c r="F53" i="25"/>
  <c r="L53" i="25" s="1"/>
  <c r="M53" i="25" s="1"/>
  <c r="A53" i="25"/>
  <c r="U51" i="25"/>
  <c r="W51" i="25" s="1"/>
  <c r="Y51" i="25" s="1"/>
  <c r="BB53" i="24"/>
  <c r="BA53" i="24"/>
  <c r="AZ53" i="24"/>
  <c r="AQ53" i="24" s="1"/>
  <c r="N53" i="24" s="1"/>
  <c r="AY53" i="24"/>
  <c r="AX53" i="24"/>
  <c r="AW53" i="24"/>
  <c r="AV53" i="24"/>
  <c r="AU53" i="24"/>
  <c r="AT53" i="24"/>
  <c r="X50" i="24"/>
  <c r="Z49" i="24"/>
  <c r="AB49" i="24" s="1"/>
  <c r="S52" i="24"/>
  <c r="T52" i="24"/>
  <c r="E52" i="24" s="1"/>
  <c r="H52" i="24" s="1"/>
  <c r="K52" i="24" s="1"/>
  <c r="I52" i="24"/>
  <c r="Q52" i="24" s="1"/>
  <c r="R52" i="24" s="1"/>
  <c r="BG53" i="24"/>
  <c r="BD53" i="24" s="1"/>
  <c r="AS53" i="24"/>
  <c r="AP53" i="24" s="1"/>
  <c r="V53" i="24"/>
  <c r="G53" i="24"/>
  <c r="J53" i="24" s="1"/>
  <c r="F53" i="24"/>
  <c r="L53" i="24" s="1"/>
  <c r="M53" i="24" s="1"/>
  <c r="A53" i="24"/>
  <c r="U51" i="24"/>
  <c r="W51" i="24" s="1"/>
  <c r="Y51" i="24" s="1"/>
  <c r="AI44" i="23"/>
  <c r="V33" i="23"/>
  <c r="AM45" i="23"/>
  <c r="AN45" i="23"/>
  <c r="BB38" i="23"/>
  <c r="BA38" i="23"/>
  <c r="AZ38" i="23"/>
  <c r="AQ38" i="23" s="1"/>
  <c r="N38" i="23" s="1"/>
  <c r="AY38" i="23"/>
  <c r="AX38" i="23"/>
  <c r="AW38" i="23"/>
  <c r="AV38" i="23"/>
  <c r="AU38" i="23"/>
  <c r="AT38" i="23"/>
  <c r="T37" i="23"/>
  <c r="E37" i="23" s="1"/>
  <c r="H37" i="23" s="1"/>
  <c r="K37" i="23" s="1"/>
  <c r="I37" i="23"/>
  <c r="Q37" i="23" s="1"/>
  <c r="B39" i="23"/>
  <c r="BG38" i="23"/>
  <c r="BD38" i="23" s="1"/>
  <c r="AS38" i="23"/>
  <c r="AP38" i="23" s="1"/>
  <c r="G38" i="23"/>
  <c r="J38" i="23" s="1"/>
  <c r="F38" i="23"/>
  <c r="L38" i="23" s="1"/>
  <c r="M38" i="23" s="1"/>
  <c r="G40" i="10"/>
  <c r="F40" i="10"/>
  <c r="B39" i="10"/>
  <c r="S53" i="27" l="1"/>
  <c r="T53" i="27"/>
  <c r="E53" i="27" s="1"/>
  <c r="H53" i="27" s="1"/>
  <c r="K53" i="27" s="1"/>
  <c r="I53" i="27"/>
  <c r="Q53" i="27" s="1"/>
  <c r="Q54" i="27" s="1"/>
  <c r="I9" i="27" s="1"/>
  <c r="U52" i="27"/>
  <c r="W52" i="27" s="1"/>
  <c r="Y52" i="27" s="1"/>
  <c r="X51" i="27"/>
  <c r="Z50" i="27"/>
  <c r="AB50" i="27" s="1"/>
  <c r="S53" i="26"/>
  <c r="T53" i="26"/>
  <c r="E53" i="26" s="1"/>
  <c r="H53" i="26" s="1"/>
  <c r="K53" i="26" s="1"/>
  <c r="I53" i="26"/>
  <c r="Q53" i="26" s="1"/>
  <c r="Q54" i="26" s="1"/>
  <c r="I9" i="26" s="1"/>
  <c r="U52" i="26"/>
  <c r="W52" i="26" s="1"/>
  <c r="Y52" i="26" s="1"/>
  <c r="X51" i="26"/>
  <c r="Z50" i="26"/>
  <c r="AB50" i="26" s="1"/>
  <c r="S53" i="25"/>
  <c r="T53" i="25"/>
  <c r="E53" i="25" s="1"/>
  <c r="H53" i="25" s="1"/>
  <c r="K53" i="25" s="1"/>
  <c r="I53" i="25"/>
  <c r="Q53" i="25" s="1"/>
  <c r="Q54" i="25" s="1"/>
  <c r="I9" i="25" s="1"/>
  <c r="U52" i="25"/>
  <c r="W52" i="25" s="1"/>
  <c r="Y52" i="25" s="1"/>
  <c r="X51" i="25"/>
  <c r="Z50" i="25"/>
  <c r="AB50" i="25" s="1"/>
  <c r="S53" i="24"/>
  <c r="T53" i="24"/>
  <c r="E53" i="24" s="1"/>
  <c r="H53" i="24" s="1"/>
  <c r="K53" i="24" s="1"/>
  <c r="I53" i="24"/>
  <c r="Q53" i="24" s="1"/>
  <c r="Q54" i="24" s="1"/>
  <c r="I9" i="24" s="1"/>
  <c r="U52" i="24"/>
  <c r="W52" i="24" s="1"/>
  <c r="Y52" i="24" s="1"/>
  <c r="X51" i="24"/>
  <c r="Z50" i="24"/>
  <c r="AB50" i="24" s="1"/>
  <c r="AI45" i="23"/>
  <c r="V34" i="23"/>
  <c r="AM46" i="23"/>
  <c r="AN46" i="23"/>
  <c r="BB39" i="23"/>
  <c r="BA39" i="23"/>
  <c r="AZ39" i="23"/>
  <c r="AQ39" i="23" s="1"/>
  <c r="N39" i="23" s="1"/>
  <c r="AY39" i="23"/>
  <c r="AX39" i="23"/>
  <c r="AW39" i="23"/>
  <c r="AV39" i="23"/>
  <c r="AU39" i="23"/>
  <c r="AT39" i="23"/>
  <c r="I38" i="23"/>
  <c r="B40" i="23"/>
  <c r="BG39" i="23"/>
  <c r="BD39" i="23" s="1"/>
  <c r="AS39" i="23"/>
  <c r="AP39" i="23" s="1"/>
  <c r="G39" i="23"/>
  <c r="J39" i="23" s="1"/>
  <c r="F39" i="23"/>
  <c r="L39" i="23" s="1"/>
  <c r="M39" i="23" s="1"/>
  <c r="G41" i="10"/>
  <c r="F41" i="10"/>
  <c r="B40" i="10"/>
  <c r="X52" i="27" l="1"/>
  <c r="Z51" i="27"/>
  <c r="AB51" i="27" s="1"/>
  <c r="U53" i="27"/>
  <c r="W53" i="27" s="1"/>
  <c r="R53" i="27"/>
  <c r="AB54" i="27" s="1"/>
  <c r="X52" i="26"/>
  <c r="Z51" i="26"/>
  <c r="AB51" i="26" s="1"/>
  <c r="U53" i="26"/>
  <c r="W53" i="26" s="1"/>
  <c r="R53" i="26"/>
  <c r="AB54" i="26" s="1"/>
  <c r="X52" i="25"/>
  <c r="Z51" i="25"/>
  <c r="AB51" i="25" s="1"/>
  <c r="U53" i="25"/>
  <c r="W53" i="25" s="1"/>
  <c r="R53" i="25"/>
  <c r="AB54" i="25" s="1"/>
  <c r="X52" i="24"/>
  <c r="Z51" i="24"/>
  <c r="AB51" i="24" s="1"/>
  <c r="U53" i="24"/>
  <c r="W53" i="24" s="1"/>
  <c r="R53" i="24"/>
  <c r="AB54" i="24" s="1"/>
  <c r="AI46" i="23"/>
  <c r="V35" i="23"/>
  <c r="AM47" i="23"/>
  <c r="AN47" i="23"/>
  <c r="BB40" i="23"/>
  <c r="BA40" i="23"/>
  <c r="AZ40" i="23"/>
  <c r="AQ40" i="23" s="1"/>
  <c r="N40" i="23" s="1"/>
  <c r="AY40" i="23"/>
  <c r="AX40" i="23"/>
  <c r="AW40" i="23"/>
  <c r="AV40" i="23"/>
  <c r="AU40" i="23"/>
  <c r="AT40" i="23"/>
  <c r="T39" i="23"/>
  <c r="E39" i="23" s="1"/>
  <c r="H39" i="23" s="1"/>
  <c r="K39" i="23" s="1"/>
  <c r="I39" i="23"/>
  <c r="Q39" i="23" s="1"/>
  <c r="B41" i="23"/>
  <c r="BG40" i="23"/>
  <c r="BD40" i="23" s="1"/>
  <c r="AS40" i="23"/>
  <c r="AP40" i="23" s="1"/>
  <c r="G40" i="23"/>
  <c r="J40" i="23" s="1"/>
  <c r="F40" i="23"/>
  <c r="L40" i="23" s="1"/>
  <c r="M40" i="23" s="1"/>
  <c r="G42" i="10"/>
  <c r="F42" i="10"/>
  <c r="B41" i="10"/>
  <c r="Y53" i="27" l="1"/>
  <c r="Y54" i="27" s="1"/>
  <c r="W54" i="27"/>
  <c r="S9" i="27" s="1"/>
  <c r="X53" i="27"/>
  <c r="Z53" i="27" s="1"/>
  <c r="AB53" i="27" s="1"/>
  <c r="Z52" i="27"/>
  <c r="AB52" i="27" s="1"/>
  <c r="Y53" i="26"/>
  <c r="Y54" i="26" s="1"/>
  <c r="W54" i="26"/>
  <c r="S9" i="26" s="1"/>
  <c r="X53" i="26"/>
  <c r="Z53" i="26" s="1"/>
  <c r="AB53" i="26" s="1"/>
  <c r="Z52" i="26"/>
  <c r="AB52" i="26" s="1"/>
  <c r="Y53" i="25"/>
  <c r="Y54" i="25" s="1"/>
  <c r="W54" i="25"/>
  <c r="S9" i="25" s="1"/>
  <c r="X53" i="25"/>
  <c r="Z53" i="25" s="1"/>
  <c r="AB53" i="25" s="1"/>
  <c r="Z52" i="25"/>
  <c r="AB52" i="25" s="1"/>
  <c r="Y53" i="24"/>
  <c r="Y54" i="24" s="1"/>
  <c r="W54" i="24"/>
  <c r="S9" i="24" s="1"/>
  <c r="X53" i="24"/>
  <c r="Z53" i="24" s="1"/>
  <c r="AB53" i="24" s="1"/>
  <c r="Z52" i="24"/>
  <c r="AB52" i="24" s="1"/>
  <c r="AI47" i="23"/>
  <c r="V36" i="23"/>
  <c r="AM48" i="23"/>
  <c r="AN48" i="23"/>
  <c r="BB41" i="23"/>
  <c r="BA41" i="23"/>
  <c r="AZ41" i="23"/>
  <c r="AQ41" i="23" s="1"/>
  <c r="N41" i="23" s="1"/>
  <c r="AY41" i="23"/>
  <c r="AX41" i="23"/>
  <c r="AW41" i="23"/>
  <c r="AV41" i="23"/>
  <c r="AU41" i="23"/>
  <c r="AT41" i="23"/>
  <c r="I40" i="23"/>
  <c r="B42" i="23"/>
  <c r="BG41" i="23"/>
  <c r="BD41" i="23" s="1"/>
  <c r="AS41" i="23"/>
  <c r="AP41" i="23" s="1"/>
  <c r="G41" i="23"/>
  <c r="J41" i="23" s="1"/>
  <c r="F41" i="23"/>
  <c r="L41" i="23" s="1"/>
  <c r="M41" i="23" s="1"/>
  <c r="G43" i="10"/>
  <c r="F43" i="10"/>
  <c r="B42" i="10"/>
  <c r="AI48" i="23" l="1"/>
  <c r="V37" i="23"/>
  <c r="AM49" i="23"/>
  <c r="AN49" i="23"/>
  <c r="BB42" i="23"/>
  <c r="BA42" i="23"/>
  <c r="AZ42" i="23"/>
  <c r="AQ42" i="23" s="1"/>
  <c r="N42" i="23" s="1"/>
  <c r="AY42" i="23"/>
  <c r="AX42" i="23"/>
  <c r="AW42" i="23"/>
  <c r="AV42" i="23"/>
  <c r="AU42" i="23"/>
  <c r="AT42" i="23"/>
  <c r="T41" i="23"/>
  <c r="E41" i="23" s="1"/>
  <c r="H41" i="23" s="1"/>
  <c r="K41" i="23" s="1"/>
  <c r="I41" i="23"/>
  <c r="Q41" i="23" s="1"/>
  <c r="B43" i="23"/>
  <c r="BG42" i="23"/>
  <c r="BD42" i="23" s="1"/>
  <c r="AS42" i="23"/>
  <c r="AP42" i="23" s="1"/>
  <c r="G42" i="23"/>
  <c r="J42" i="23" s="1"/>
  <c r="F42" i="23"/>
  <c r="L42" i="23" s="1"/>
  <c r="M42" i="23" s="1"/>
  <c r="G44" i="10"/>
  <c r="F44" i="10"/>
  <c r="B43" i="10"/>
  <c r="AI49" i="23" l="1"/>
  <c r="V38" i="23"/>
  <c r="AM50" i="23"/>
  <c r="AN50" i="23"/>
  <c r="BB43" i="23"/>
  <c r="BA43" i="23"/>
  <c r="AZ43" i="23"/>
  <c r="AQ43" i="23" s="1"/>
  <c r="N43" i="23" s="1"/>
  <c r="AY43" i="23"/>
  <c r="AX43" i="23"/>
  <c r="AW43" i="23"/>
  <c r="AV43" i="23"/>
  <c r="AU43" i="23"/>
  <c r="AT43" i="23"/>
  <c r="I42" i="23"/>
  <c r="B44" i="23"/>
  <c r="BG43" i="23"/>
  <c r="BD43" i="23" s="1"/>
  <c r="AS43" i="23"/>
  <c r="AP43" i="23" s="1"/>
  <c r="G43" i="23"/>
  <c r="J43" i="23" s="1"/>
  <c r="F43" i="23"/>
  <c r="L43" i="23" s="1"/>
  <c r="M43" i="23" s="1"/>
  <c r="G45" i="10"/>
  <c r="F45" i="10"/>
  <c r="B44" i="10"/>
  <c r="AI50" i="23" l="1"/>
  <c r="V39" i="23"/>
  <c r="AM51" i="23"/>
  <c r="AN51" i="23"/>
  <c r="BB44" i="23"/>
  <c r="BA44" i="23"/>
  <c r="AZ44" i="23"/>
  <c r="AQ44" i="23" s="1"/>
  <c r="N44" i="23" s="1"/>
  <c r="AY44" i="23"/>
  <c r="AX44" i="23"/>
  <c r="AW44" i="23"/>
  <c r="AV44" i="23"/>
  <c r="AU44" i="23"/>
  <c r="AT44" i="23"/>
  <c r="T43" i="23"/>
  <c r="E43" i="23" s="1"/>
  <c r="H43" i="23" s="1"/>
  <c r="K43" i="23" s="1"/>
  <c r="I43" i="23"/>
  <c r="Q43" i="23" s="1"/>
  <c r="B45" i="23"/>
  <c r="BG44" i="23"/>
  <c r="BD44" i="23" s="1"/>
  <c r="AS44" i="23"/>
  <c r="AP44" i="23" s="1"/>
  <c r="G44" i="23"/>
  <c r="J44" i="23" s="1"/>
  <c r="F44" i="23"/>
  <c r="L44" i="23" s="1"/>
  <c r="M44" i="23" s="1"/>
  <c r="G46" i="10"/>
  <c r="F46" i="10"/>
  <c r="B45" i="10"/>
  <c r="AI51" i="23" l="1"/>
  <c r="V40" i="23"/>
  <c r="AM52" i="23"/>
  <c r="AN52" i="23"/>
  <c r="BB45" i="23"/>
  <c r="BA45" i="23"/>
  <c r="AZ45" i="23"/>
  <c r="AQ45" i="23" s="1"/>
  <c r="N45" i="23" s="1"/>
  <c r="AY45" i="23"/>
  <c r="AX45" i="23"/>
  <c r="AW45" i="23"/>
  <c r="AV45" i="23"/>
  <c r="AU45" i="23"/>
  <c r="AT45" i="23"/>
  <c r="I44" i="23"/>
  <c r="B46" i="23"/>
  <c r="BG45" i="23"/>
  <c r="BD45" i="23" s="1"/>
  <c r="AS45" i="23"/>
  <c r="AP45" i="23" s="1"/>
  <c r="G45" i="23"/>
  <c r="J45" i="23" s="1"/>
  <c r="F45" i="23"/>
  <c r="L45" i="23" s="1"/>
  <c r="M45" i="23" s="1"/>
  <c r="G47" i="10"/>
  <c r="F47" i="10"/>
  <c r="B46" i="10"/>
  <c r="AI52" i="23" l="1"/>
  <c r="V41" i="23"/>
  <c r="AM53" i="23"/>
  <c r="AN53" i="23"/>
  <c r="BB46" i="23"/>
  <c r="BA46" i="23"/>
  <c r="AZ46" i="23"/>
  <c r="AQ46" i="23" s="1"/>
  <c r="N46" i="23" s="1"/>
  <c r="AY46" i="23"/>
  <c r="AX46" i="23"/>
  <c r="AW46" i="23"/>
  <c r="AV46" i="23"/>
  <c r="AU46" i="23"/>
  <c r="AT46" i="23"/>
  <c r="T45" i="23"/>
  <c r="E45" i="23" s="1"/>
  <c r="H45" i="23" s="1"/>
  <c r="K45" i="23" s="1"/>
  <c r="I45" i="23"/>
  <c r="Q45" i="23" s="1"/>
  <c r="B47" i="23"/>
  <c r="BG46" i="23"/>
  <c r="BD46" i="23" s="1"/>
  <c r="AS46" i="23"/>
  <c r="AP46" i="23" s="1"/>
  <c r="G46" i="23"/>
  <c r="J46" i="23" s="1"/>
  <c r="F46" i="23"/>
  <c r="L46" i="23" s="1"/>
  <c r="M46" i="23" s="1"/>
  <c r="G48" i="10"/>
  <c r="F48" i="10"/>
  <c r="B47" i="10"/>
  <c r="AI53" i="23" l="1"/>
  <c r="V42" i="23"/>
  <c r="AM54" i="23"/>
  <c r="G49" i="10"/>
  <c r="AN54" i="23"/>
  <c r="BB47" i="23"/>
  <c r="BA47" i="23"/>
  <c r="AZ47" i="23"/>
  <c r="AQ47" i="23" s="1"/>
  <c r="N47" i="23" s="1"/>
  <c r="AY47" i="23"/>
  <c r="AX47" i="23"/>
  <c r="AW47" i="23"/>
  <c r="AV47" i="23"/>
  <c r="AU47" i="23"/>
  <c r="AT47" i="23"/>
  <c r="I46" i="23"/>
  <c r="B48" i="23"/>
  <c r="BG47" i="23"/>
  <c r="BD47" i="23" s="1"/>
  <c r="AS47" i="23"/>
  <c r="AP47" i="23" s="1"/>
  <c r="G47" i="23"/>
  <c r="J47" i="23" s="1"/>
  <c r="F47" i="23"/>
  <c r="L47" i="23" s="1"/>
  <c r="M47" i="23" s="1"/>
  <c r="F49" i="10"/>
  <c r="B48" i="10"/>
  <c r="AI54" i="23" l="1"/>
  <c r="V43" i="23"/>
  <c r="AM55" i="23"/>
  <c r="G50" i="10"/>
  <c r="AN55" i="23"/>
  <c r="BB48" i="23"/>
  <c r="BA48" i="23"/>
  <c r="AZ48" i="23"/>
  <c r="AQ48" i="23" s="1"/>
  <c r="N48" i="23" s="1"/>
  <c r="AY48" i="23"/>
  <c r="AX48" i="23"/>
  <c r="AW48" i="23"/>
  <c r="AV48" i="23"/>
  <c r="AU48" i="23"/>
  <c r="AT48" i="23"/>
  <c r="T47" i="23"/>
  <c r="E47" i="23" s="1"/>
  <c r="H47" i="23" s="1"/>
  <c r="K47" i="23" s="1"/>
  <c r="I47" i="23"/>
  <c r="Q47" i="23" s="1"/>
  <c r="B49" i="23"/>
  <c r="BG48" i="23"/>
  <c r="BD48" i="23" s="1"/>
  <c r="AS48" i="23"/>
  <c r="AP48" i="23" s="1"/>
  <c r="G48" i="23"/>
  <c r="J48" i="23" s="1"/>
  <c r="F48" i="23"/>
  <c r="L48" i="23" s="1"/>
  <c r="M48" i="23" s="1"/>
  <c r="F50" i="10"/>
  <c r="B49" i="10"/>
  <c r="AI55" i="23" l="1"/>
  <c r="V44" i="23"/>
  <c r="AM56" i="23"/>
  <c r="G51" i="10"/>
  <c r="AN56" i="23"/>
  <c r="BB49" i="23"/>
  <c r="BA49" i="23"/>
  <c r="AZ49" i="23"/>
  <c r="AQ49" i="23" s="1"/>
  <c r="N49" i="23" s="1"/>
  <c r="AY49" i="23"/>
  <c r="AX49" i="23"/>
  <c r="AW49" i="23"/>
  <c r="AV49" i="23"/>
  <c r="AU49" i="23"/>
  <c r="AT49" i="23"/>
  <c r="I48" i="23"/>
  <c r="B50" i="23"/>
  <c r="BG49" i="23"/>
  <c r="BD49" i="23" s="1"/>
  <c r="AS49" i="23"/>
  <c r="AP49" i="23" s="1"/>
  <c r="G49" i="23"/>
  <c r="J49" i="23" s="1"/>
  <c r="F49" i="23"/>
  <c r="L49" i="23" s="1"/>
  <c r="M49" i="23" s="1"/>
  <c r="F51" i="10"/>
  <c r="B50" i="10"/>
  <c r="AI56" i="23" l="1"/>
  <c r="V45" i="23"/>
  <c r="AM57" i="23"/>
  <c r="G52" i="10"/>
  <c r="AN57" i="23"/>
  <c r="BB50" i="23"/>
  <c r="BA50" i="23"/>
  <c r="AZ50" i="23"/>
  <c r="AQ50" i="23" s="1"/>
  <c r="N50" i="23" s="1"/>
  <c r="AY50" i="23"/>
  <c r="AX50" i="23"/>
  <c r="AW50" i="23"/>
  <c r="AV50" i="23"/>
  <c r="AU50" i="23"/>
  <c r="AT50" i="23"/>
  <c r="T49" i="23"/>
  <c r="E49" i="23" s="1"/>
  <c r="H49" i="23" s="1"/>
  <c r="K49" i="23" s="1"/>
  <c r="I49" i="23"/>
  <c r="Q49" i="23" s="1"/>
  <c r="B51" i="23"/>
  <c r="BG50" i="23"/>
  <c r="BD50" i="23" s="1"/>
  <c r="AS50" i="23"/>
  <c r="AP50" i="23" s="1"/>
  <c r="G50" i="23"/>
  <c r="J50" i="23" s="1"/>
  <c r="F50" i="23"/>
  <c r="L50" i="23" s="1"/>
  <c r="M50" i="23" s="1"/>
  <c r="F52" i="10"/>
  <c r="B51" i="10"/>
  <c r="AI57" i="23" l="1"/>
  <c r="V46" i="23"/>
  <c r="AM58" i="23"/>
  <c r="G53" i="10"/>
  <c r="AN58" i="23"/>
  <c r="BB51" i="23"/>
  <c r="BA51" i="23"/>
  <c r="AZ51" i="23"/>
  <c r="AQ51" i="23" s="1"/>
  <c r="N51" i="23" s="1"/>
  <c r="AY51" i="23"/>
  <c r="AX51" i="23"/>
  <c r="AW51" i="23"/>
  <c r="AV51" i="23"/>
  <c r="AU51" i="23"/>
  <c r="AT51" i="23"/>
  <c r="I50" i="23"/>
  <c r="B52" i="23"/>
  <c r="BG51" i="23"/>
  <c r="BD51" i="23" s="1"/>
  <c r="AS51" i="23"/>
  <c r="AP51" i="23" s="1"/>
  <c r="G51" i="23"/>
  <c r="J51" i="23" s="1"/>
  <c r="F51" i="23"/>
  <c r="L51" i="23" s="1"/>
  <c r="M51" i="23" s="1"/>
  <c r="F53" i="10"/>
  <c r="B52" i="10"/>
  <c r="AI58" i="23" l="1"/>
  <c r="V47" i="23"/>
  <c r="AM59" i="23"/>
  <c r="G54" i="10"/>
  <c r="AN59" i="23"/>
  <c r="BB52" i="23"/>
  <c r="BA52" i="23"/>
  <c r="AZ52" i="23"/>
  <c r="AQ52" i="23" s="1"/>
  <c r="N52" i="23" s="1"/>
  <c r="AY52" i="23"/>
  <c r="AX52" i="23"/>
  <c r="AW52" i="23"/>
  <c r="AV52" i="23"/>
  <c r="AU52" i="23"/>
  <c r="AT52" i="23"/>
  <c r="T51" i="23"/>
  <c r="E51" i="23" s="1"/>
  <c r="H51" i="23" s="1"/>
  <c r="K51" i="23" s="1"/>
  <c r="I51" i="23"/>
  <c r="Q51" i="23" s="1"/>
  <c r="B53" i="23"/>
  <c r="BG52" i="23"/>
  <c r="BD52" i="23" s="1"/>
  <c r="AS52" i="23"/>
  <c r="AP52" i="23" s="1"/>
  <c r="G52" i="23"/>
  <c r="J52" i="23" s="1"/>
  <c r="F52" i="23"/>
  <c r="L52" i="23" s="1"/>
  <c r="M52" i="23" s="1"/>
  <c r="F54" i="10"/>
  <c r="B53" i="10"/>
  <c r="AI59" i="23" l="1"/>
  <c r="V48" i="23"/>
  <c r="AM60" i="23"/>
  <c r="G55" i="10"/>
  <c r="AN60" i="23"/>
  <c r="BB53" i="23"/>
  <c r="BA53" i="23"/>
  <c r="AZ53" i="23"/>
  <c r="AQ53" i="23" s="1"/>
  <c r="N53" i="23" s="1"/>
  <c r="AY53" i="23"/>
  <c r="AX53" i="23"/>
  <c r="AW53" i="23"/>
  <c r="AV53" i="23"/>
  <c r="AU53" i="23"/>
  <c r="AT53" i="23"/>
  <c r="I52" i="23"/>
  <c r="BG53" i="23"/>
  <c r="BD53" i="23" s="1"/>
  <c r="AS53" i="23"/>
  <c r="AP53" i="23" s="1"/>
  <c r="G53" i="23"/>
  <c r="J53" i="23" s="1"/>
  <c r="F53" i="23"/>
  <c r="L53" i="23" s="1"/>
  <c r="M53" i="23" s="1"/>
  <c r="F55" i="10"/>
  <c r="B54" i="10"/>
  <c r="AI60" i="23" l="1"/>
  <c r="V49" i="23"/>
  <c r="AM61" i="23"/>
  <c r="G56" i="10"/>
  <c r="AN61" i="23"/>
  <c r="T53" i="23"/>
  <c r="E53" i="23" s="1"/>
  <c r="H53" i="23" s="1"/>
  <c r="K53" i="23" s="1"/>
  <c r="I53" i="23"/>
  <c r="Q53" i="23" s="1"/>
  <c r="F56" i="10"/>
  <c r="B55" i="10"/>
  <c r="AI61" i="23" l="1"/>
  <c r="V50" i="23"/>
  <c r="AM62" i="23"/>
  <c r="G57" i="10"/>
  <c r="AN62" i="23"/>
  <c r="F57" i="10"/>
  <c r="B56" i="10"/>
  <c r="AI62" i="23" l="1"/>
  <c r="V51" i="23"/>
  <c r="AM63" i="23"/>
  <c r="G58" i="10"/>
  <c r="AN63" i="23"/>
  <c r="F58" i="10"/>
  <c r="B57" i="10"/>
  <c r="AI63" i="23" l="1"/>
  <c r="V52" i="23"/>
  <c r="AM64" i="23"/>
  <c r="AN64" i="23"/>
  <c r="B58" i="10"/>
  <c r="AI64" i="23" l="1"/>
  <c r="V53" i="23"/>
  <c r="D10" i="1" l="1"/>
  <c r="D11" i="1"/>
  <c r="D12" i="1"/>
  <c r="D13" i="1" l="1"/>
  <c r="T20" i="23" l="1"/>
  <c r="T22" i="23" s="1"/>
  <c r="E20" i="23"/>
  <c r="H20" i="23"/>
  <c r="K20" i="23"/>
  <c r="Q20" i="23"/>
  <c r="R20" i="23" s="1"/>
  <c r="R21" i="23" s="1"/>
  <c r="U20" i="23"/>
  <c r="W20" i="23"/>
  <c r="Y20" i="23" l="1"/>
  <c r="X20" i="23"/>
  <c r="U21" i="23"/>
  <c r="W21" i="23" s="1"/>
  <c r="Y21" i="23" s="1"/>
  <c r="E22" i="23"/>
  <c r="H22" i="23" s="1"/>
  <c r="K22" i="23" s="1"/>
  <c r="Q22" i="23" s="1"/>
  <c r="T24" i="23"/>
  <c r="E24" i="23" l="1"/>
  <c r="H24" i="23" s="1"/>
  <c r="K24" i="23" s="1"/>
  <c r="Q24" i="23" s="1"/>
  <c r="T26" i="23"/>
  <c r="R22" i="23"/>
  <c r="R23" i="23" s="1"/>
  <c r="R24" i="23" s="1"/>
  <c r="R25" i="23" s="1"/>
  <c r="U22" i="23"/>
  <c r="W22" i="23" s="1"/>
  <c r="Y22" i="23" s="1"/>
  <c r="Z20" i="23"/>
  <c r="AB20" i="23" s="1"/>
  <c r="X21" i="23"/>
  <c r="Z21" i="23" l="1"/>
  <c r="AB21" i="23" s="1"/>
  <c r="X22" i="23"/>
  <c r="U23" i="23"/>
  <c r="W23" i="23" s="1"/>
  <c r="E26" i="23"/>
  <c r="H26" i="23" s="1"/>
  <c r="K26" i="23" s="1"/>
  <c r="Q26" i="23" s="1"/>
  <c r="T28" i="23"/>
  <c r="E28" i="23" l="1"/>
  <c r="H28" i="23" s="1"/>
  <c r="K28" i="23" s="1"/>
  <c r="Q28" i="23" s="1"/>
  <c r="T30" i="23"/>
  <c r="R26" i="23"/>
  <c r="R27" i="23" s="1"/>
  <c r="R28" i="23" s="1"/>
  <c r="R29" i="23" s="1"/>
  <c r="Y23" i="23"/>
  <c r="U24" i="23"/>
  <c r="W24" i="23" s="1"/>
  <c r="Y24" i="23" s="1"/>
  <c r="Z22" i="23"/>
  <c r="AB22" i="23" s="1"/>
  <c r="X23" i="23"/>
  <c r="Z23" i="23" l="1"/>
  <c r="AB23" i="23" s="1"/>
  <c r="X24" i="23"/>
  <c r="U25" i="23"/>
  <c r="W25" i="23" s="1"/>
  <c r="Y25" i="23" s="1"/>
  <c r="E30" i="23"/>
  <c r="H30" i="23" s="1"/>
  <c r="K30" i="23" s="1"/>
  <c r="Q30" i="23" s="1"/>
  <c r="T32" i="23"/>
  <c r="E32" i="23" l="1"/>
  <c r="H32" i="23" s="1"/>
  <c r="K32" i="23" s="1"/>
  <c r="Q32" i="23" s="1"/>
  <c r="T34" i="23"/>
  <c r="R30" i="23"/>
  <c r="R31" i="23" s="1"/>
  <c r="R32" i="23" s="1"/>
  <c r="R33" i="23" s="1"/>
  <c r="U26" i="23"/>
  <c r="W26" i="23" s="1"/>
  <c r="Z24" i="23"/>
  <c r="AB24" i="23" s="1"/>
  <c r="X25" i="23"/>
  <c r="Z25" i="23" l="1"/>
  <c r="AB25" i="23" s="1"/>
  <c r="X26" i="23"/>
  <c r="Y26" i="23"/>
  <c r="U27" i="23"/>
  <c r="W27" i="23" s="1"/>
  <c r="Y27" i="23" s="1"/>
  <c r="E34" i="23"/>
  <c r="H34" i="23" s="1"/>
  <c r="K34" i="23" s="1"/>
  <c r="Q34" i="23" s="1"/>
  <c r="R34" i="23" s="1"/>
  <c r="R35" i="23" s="1"/>
  <c r="T36" i="23"/>
  <c r="E36" i="23" l="1"/>
  <c r="H36" i="23" s="1"/>
  <c r="K36" i="23" s="1"/>
  <c r="Q36" i="23" s="1"/>
  <c r="R36" i="23" s="1"/>
  <c r="R37" i="23" s="1"/>
  <c r="T38" i="23"/>
  <c r="U28" i="23"/>
  <c r="W28" i="23" s="1"/>
  <c r="Y28" i="23" s="1"/>
  <c r="Z26" i="23"/>
  <c r="AB26" i="23" s="1"/>
  <c r="X27" i="23"/>
  <c r="Z27" i="23" l="1"/>
  <c r="AB27" i="23" s="1"/>
  <c r="X28" i="23"/>
  <c r="U29" i="23"/>
  <c r="W29" i="23" s="1"/>
  <c r="Y29" i="23" s="1"/>
  <c r="E38" i="23"/>
  <c r="H38" i="23" s="1"/>
  <c r="K38" i="23" s="1"/>
  <c r="Q38" i="23" s="1"/>
  <c r="R38" i="23" s="1"/>
  <c r="R39" i="23" s="1"/>
  <c r="T40" i="23"/>
  <c r="E40" i="23" l="1"/>
  <c r="H40" i="23" s="1"/>
  <c r="K40" i="23" s="1"/>
  <c r="Q40" i="23" s="1"/>
  <c r="R40" i="23" s="1"/>
  <c r="R41" i="23" s="1"/>
  <c r="T42" i="23"/>
  <c r="U30" i="23"/>
  <c r="W30" i="23" s="1"/>
  <c r="Y30" i="23" s="1"/>
  <c r="Z28" i="23"/>
  <c r="AB28" i="23" s="1"/>
  <c r="X29" i="23"/>
  <c r="Z29" i="23" l="1"/>
  <c r="AB29" i="23" s="1"/>
  <c r="X30" i="23"/>
  <c r="U31" i="23"/>
  <c r="W31" i="23" s="1"/>
  <c r="Y31" i="23" s="1"/>
  <c r="E42" i="23"/>
  <c r="H42" i="23" s="1"/>
  <c r="K42" i="23" s="1"/>
  <c r="Q42" i="23" s="1"/>
  <c r="R42" i="23" s="1"/>
  <c r="R43" i="23" s="1"/>
  <c r="T44" i="23"/>
  <c r="E44" i="23" l="1"/>
  <c r="H44" i="23" s="1"/>
  <c r="K44" i="23" s="1"/>
  <c r="Q44" i="23" s="1"/>
  <c r="R44" i="23" s="1"/>
  <c r="R45" i="23" s="1"/>
  <c r="T46" i="23"/>
  <c r="U32" i="23"/>
  <c r="W32" i="23" s="1"/>
  <c r="Y32" i="23" s="1"/>
  <c r="Z30" i="23"/>
  <c r="AB30" i="23" s="1"/>
  <c r="X31" i="23"/>
  <c r="Z31" i="23" l="1"/>
  <c r="AB31" i="23" s="1"/>
  <c r="X32" i="23"/>
  <c r="U33" i="23"/>
  <c r="W33" i="23" s="1"/>
  <c r="Y33" i="23" s="1"/>
  <c r="E46" i="23"/>
  <c r="H46" i="23" s="1"/>
  <c r="K46" i="23" s="1"/>
  <c r="Q46" i="23" s="1"/>
  <c r="R46" i="23" s="1"/>
  <c r="T48" i="23"/>
  <c r="R47" i="23" l="1"/>
  <c r="E48" i="23"/>
  <c r="H48" i="23" s="1"/>
  <c r="K48" i="23" s="1"/>
  <c r="Q48" i="23" s="1"/>
  <c r="T50" i="23"/>
  <c r="U34" i="23"/>
  <c r="W34" i="23" s="1"/>
  <c r="Y34" i="23" s="1"/>
  <c r="Z32" i="23"/>
  <c r="AB32" i="23" s="1"/>
  <c r="X33" i="23"/>
  <c r="Z33" i="23" l="1"/>
  <c r="AB33" i="23" s="1"/>
  <c r="X34" i="23"/>
  <c r="U35" i="23"/>
  <c r="W35" i="23" s="1"/>
  <c r="Y35" i="23" s="1"/>
  <c r="E50" i="23"/>
  <c r="H50" i="23" s="1"/>
  <c r="K50" i="23" s="1"/>
  <c r="Q50" i="23" s="1"/>
  <c r="T52" i="23"/>
  <c r="E52" i="23" s="1"/>
  <c r="H52" i="23" s="1"/>
  <c r="K52" i="23" s="1"/>
  <c r="Q52" i="23" s="1"/>
  <c r="Q54" i="23" s="1"/>
  <c r="I9" i="23" s="1"/>
  <c r="R48" i="23"/>
  <c r="R49" i="23" s="1"/>
  <c r="R50" i="23" s="1"/>
  <c r="R51" i="23" s="1"/>
  <c r="R52" i="23" s="1"/>
  <c r="R53" i="23" s="1"/>
  <c r="U36" i="23" l="1"/>
  <c r="Z34" i="23"/>
  <c r="AB34" i="23" s="1"/>
  <c r="X35" i="23"/>
  <c r="Z35" i="23" l="1"/>
  <c r="AB35" i="23" s="1"/>
  <c r="W36" i="23"/>
  <c r="Y36" i="23" s="1"/>
  <c r="U37" i="23"/>
  <c r="W37" i="23" s="1"/>
  <c r="Y37" i="23" s="1"/>
  <c r="U38" i="23" l="1"/>
  <c r="X36" i="23"/>
  <c r="Z36" i="23" l="1"/>
  <c r="AB36" i="23" s="1"/>
  <c r="X37" i="23"/>
  <c r="W38" i="23"/>
  <c r="Y38" i="23" s="1"/>
  <c r="U39" i="23"/>
  <c r="W39" i="23" l="1"/>
  <c r="Y39" i="23" s="1"/>
  <c r="U40" i="23"/>
  <c r="W40" i="23" s="1"/>
  <c r="Y40" i="23" s="1"/>
  <c r="Z37" i="23"/>
  <c r="AB37" i="23" s="1"/>
  <c r="X38" i="23"/>
  <c r="Z38" i="23" l="1"/>
  <c r="AB38" i="23" s="1"/>
  <c r="X39" i="23"/>
  <c r="U41" i="23"/>
  <c r="W41" i="23" s="1"/>
  <c r="Y41" i="23" s="1"/>
  <c r="U42" i="23" l="1"/>
  <c r="W42" i="23" s="1"/>
  <c r="Y42" i="23" s="1"/>
  <c r="Z39" i="23"/>
  <c r="AB39" i="23" s="1"/>
  <c r="X40" i="23"/>
  <c r="Z40" i="23" l="1"/>
  <c r="AB40" i="23" s="1"/>
  <c r="X41" i="23"/>
  <c r="U43" i="23"/>
  <c r="W43" i="23" s="1"/>
  <c r="Y43" i="23" s="1"/>
  <c r="U44" i="23" l="1"/>
  <c r="W44" i="23" s="1"/>
  <c r="Y44" i="23" s="1"/>
  <c r="Z41" i="23"/>
  <c r="AB41" i="23" s="1"/>
  <c r="X42" i="23"/>
  <c r="Z42" i="23" l="1"/>
  <c r="AB42" i="23" s="1"/>
  <c r="X43" i="23"/>
  <c r="U45" i="23"/>
  <c r="W45" i="23" s="1"/>
  <c r="Y45" i="23" s="1"/>
  <c r="U46" i="23" l="1"/>
  <c r="Z43" i="23"/>
  <c r="AB43" i="23" s="1"/>
  <c r="X44" i="23"/>
  <c r="Z44" i="23" l="1"/>
  <c r="AB44" i="23" s="1"/>
  <c r="X45" i="23"/>
  <c r="W46" i="23"/>
  <c r="Y46" i="23" s="1"/>
  <c r="AC46" i="23"/>
  <c r="U47" i="23"/>
  <c r="W47" i="23" s="1"/>
  <c r="Y47" i="23" s="1"/>
  <c r="U48" i="23" l="1"/>
  <c r="W48" i="23" s="1"/>
  <c r="Y48" i="23" s="1"/>
  <c r="Z45" i="23"/>
  <c r="AB45" i="23" s="1"/>
  <c r="X46" i="23"/>
  <c r="Z46" i="23" l="1"/>
  <c r="AB46" i="23" s="1"/>
  <c r="X47" i="23"/>
  <c r="U49" i="23"/>
  <c r="W49" i="23" s="1"/>
  <c r="Y49" i="23" s="1"/>
  <c r="U50" i="23" l="1"/>
  <c r="W50" i="23" s="1"/>
  <c r="Y50" i="23" s="1"/>
  <c r="Z47" i="23"/>
  <c r="AB47" i="23" s="1"/>
  <c r="X48" i="23"/>
  <c r="Z48" i="23" l="1"/>
  <c r="AB48" i="23" s="1"/>
  <c r="X49" i="23"/>
  <c r="U51" i="23"/>
  <c r="W51" i="23" s="1"/>
  <c r="Y51" i="23" s="1"/>
  <c r="U53" i="23" l="1"/>
  <c r="U52" i="23"/>
  <c r="W52" i="23" s="1"/>
  <c r="Y52" i="23" s="1"/>
  <c r="Z49" i="23"/>
  <c r="AB49" i="23" s="1"/>
  <c r="X50" i="23"/>
  <c r="Z50" i="23" l="1"/>
  <c r="AB50" i="23" s="1"/>
  <c r="X51" i="23"/>
  <c r="W53" i="23"/>
  <c r="AB54" i="23"/>
  <c r="Y53" i="23" l="1"/>
  <c r="Y54" i="23" s="1"/>
  <c r="W54" i="23"/>
  <c r="Z51" i="23"/>
  <c r="AB51" i="23" s="1"/>
  <c r="X52" i="23"/>
  <c r="X53" i="23" l="1"/>
  <c r="Z53" i="23" s="1"/>
  <c r="AB53" i="23" s="1"/>
  <c r="Z52" i="23"/>
  <c r="AB52" i="23" s="1"/>
  <c r="S9" i="23"/>
  <c r="D9" i="1"/>
</calcChain>
</file>

<file path=xl/comments1.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2.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<sst xmlns="http://schemas.openxmlformats.org/spreadsheetml/2006/main" count="3037" uniqueCount="656">
  <si>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</si>
  <si>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</si>
  <si>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</si>
  <si>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</si>
  <si>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</si>
  <si>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</si>
  <si>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</si>
  <si>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</si>
  <si>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</si>
  <si>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</si>
  <si>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</si>
  <si>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</si>
  <si>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</si>
  <si>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</si>
  <si>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</si>
  <si>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</si>
  <si>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</si>
  <si>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</si>
  <si>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</si>
  <si>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</si>
  <si>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</si>
  <si>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</si>
  <si>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</si>
  <si>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</si>
  <si>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</si>
  <si>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</si>
  <si>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</si>
  <si>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</si>
  <si>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</si>
  <si>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</si>
  <si>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</si>
  <si>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</si>
  <si>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</si>
  <si>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</si>
  <si>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</si>
  <si>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</si>
  <si>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</si>
  <si>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</si>
  <si>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</si>
  <si>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</si>
  <si>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</si>
  <si>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</si>
  <si>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</si>
  <si>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</si>
  <si>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</si>
  <si>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</si>
  <si>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</si>
  <si>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</si>
  <si>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</si>
  <si>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</si>
  <si>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</si>
  <si>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</si>
  <si>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</si>
  <si>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</si>
  <si>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</si>
  <si>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</si>
  <si>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</si>
  <si>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</si>
  <si>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</si>
  <si>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</si>
  <si>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</si>
  <si>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</si>
  <si>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</si>
  <si>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</si>
  <si>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</si>
  <si>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</si>
  <si>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</si>
  <si>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</si>
  <si>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</si>
  <si>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</si>
  <si>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</si>
  <si>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</si>
  <si>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</si>
  <si>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</si>
  <si>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</si>
  <si>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</si>
  <si>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</si>
  <si>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</si>
  <si>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</si>
  <si>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</si>
  <si>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</si>
  <si>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</si>
  <si>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</si>
  <si>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</si>
  <si>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</si>
  <si>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</si>
  <si>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</si>
  <si>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</si>
  <si>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</si>
  <si>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</si>
  <si>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</si>
  <si>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</si>
  <si>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</si>
  <si>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</si>
  <si>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</si>
  <si>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</si>
  <si>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</si>
  <si>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</si>
  <si>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</si>
  <si>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</si>
  <si>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</si>
  <si>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</si>
  <si>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</si>
  <si>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</si>
  <si>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</si>
  <si>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</si>
  <si>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</si>
  <si>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</si>
  <si>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</si>
  <si>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</si>
  <si>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</si>
  <si>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</si>
  <si>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</si>
  <si>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</si>
  <si>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</si>
  <si>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</si>
  <si>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</si>
  <si>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</si>
  <si>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</si>
  <si>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</si>
  <si>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</si>
  <si>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</si>
  <si>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</si>
  <si>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</si>
  <si>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</si>
  <si>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</si>
  <si>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</si>
  <si>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</si>
  <si>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</si>
  <si>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</si>
  <si>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</si>
  <si>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</si>
  <si>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</si>
  <si>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</si>
  <si>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</si>
  <si>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</si>
  <si>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</si>
  <si>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</si>
  <si>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</si>
  <si>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</si>
  <si>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</si>
  <si>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</si>
  <si>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</si>
  <si>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</si>
  <si>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</si>
  <si>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</si>
  <si>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</si>
  <si>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</si>
  <si>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</si>
  <si>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</si>
  <si>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</si>
  <si>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</si>
  <si>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</si>
  <si>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</si>
  <si>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</si>
  <si>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</si>
  <si>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</si>
  <si>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</si>
  <si>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</si>
  <si>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</si>
  <si>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</si>
  <si>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</si>
  <si>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</si>
  <si>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</si>
  <si>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</si>
  <si>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</si>
  <si>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</si>
  <si>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</si>
  <si>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</si>
  <si>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</si>
  <si>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</si>
  <si>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</si>
  <si>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</si>
  <si>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</si>
  <si>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</si>
  <si>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</si>
  <si>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</si>
  <si>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</si>
  <si>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</si>
  <si>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</si>
  <si>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</si>
  <si>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</si>
  <si>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</si>
  <si>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</si>
  <si>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</si>
  <si>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</si>
  <si>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</si>
  <si>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</si>
  <si>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</si>
  <si>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</si>
  <si>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</si>
  <si>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</si>
  <si>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</si>
  <si>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</si>
  <si>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</si>
  <si>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</si>
  <si>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</si>
  <si>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</si>
  <si>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</si>
  <si>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</si>
  <si>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</si>
  <si>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</si>
  <si>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</si>
  <si>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</si>
  <si>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</si>
  <si>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</si>
  <si>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</si>
  <si>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</si>
  <si>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</si>
  <si>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</si>
  <si>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</si>
  <si>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</si>
  <si>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</si>
  <si>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</si>
  <si>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</si>
  <si>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</si>
  <si>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</si>
  <si>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</si>
  <si>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</si>
  <si>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</si>
  <si>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</si>
  <si>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</si>
  <si>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</si>
  <si>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</si>
  <si>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</si>
  <si>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</si>
  <si>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</si>
  <si>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</si>
  <si>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</si>
  <si>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</si>
  <si>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</si>
  <si>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</si>
  <si>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</si>
  <si>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</si>
  <si>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</si>
  <si>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</si>
  <si>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</si>
  <si>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</si>
  <si>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</si>
  <si>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</si>
  <si>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</si>
  <si>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</si>
  <si>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</si>
  <si>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</si>
  <si>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</si>
  <si>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</si>
  <si>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</si>
  <si>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</si>
  <si>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</si>
  <si>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</si>
  <si>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</si>
  <si>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</si>
  <si>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</si>
  <si>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</si>
  <si>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</si>
  <si>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</si>
  <si>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</si>
  <si>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</si>
  <si>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</si>
  <si>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</si>
  <si>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</si>
  <si>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</si>
  <si>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</si>
  <si>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</si>
  <si>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</si>
  <si>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</si>
  <si>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</si>
  <si>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</si>
  <si>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</si>
  <si>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</si>
  <si>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</si>
  <si>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</si>
  <si>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</si>
  <si>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</si>
  <si>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</si>
  <si>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</si>
  <si>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</si>
  <si>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</si>
  <si>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</si>
  <si>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</si>
  <si>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</si>
  <si>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</si>
  <si>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</si>
  <si>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</si>
  <si>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</si>
  <si>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</si>
  <si>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</si>
  <si>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</si>
  <si>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</si>
  <si>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</si>
  <si>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</si>
  <si>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</si>
  <si>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</si>
  <si>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</si>
  <si>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</si>
  <si>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</si>
  <si>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</si>
  <si>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</si>
  <si>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</si>
  <si>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</si>
  <si>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</si>
  <si>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</si>
  <si>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</si>
  <si>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</si>
  <si>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</si>
  <si>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</si>
  <si>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</si>
  <si>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</si>
  <si>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</si>
  <si>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</si>
  <si>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</si>
  <si>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</si>
  <si>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</si>
  <si>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</si>
  <si>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</si>
  <si>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</si>
  <si>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</si>
  <si>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</si>
  <si>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</si>
  <si>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</si>
  <si>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</si>
  <si>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</si>
  <si>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</si>
  <si>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</si>
  <si>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</si>
  <si>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</si>
  <si>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</si>
  <si>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</si>
  <si>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</si>
  <si>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</si>
  <si>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</si>
  <si>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</si>
  <si>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</si>
  <si>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</si>
  <si>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</si>
  <si>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</si>
  <si>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</si>
  <si>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</si>
  <si>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</si>
  <si>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</si>
  <si>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</si>
  <si>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</si>
  <si>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</si>
  <si>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</si>
  <si>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</si>
  <si>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</si>
  <si>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</si>
  <si>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</si>
  <si>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</si>
  <si>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</si>
  <si>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</si>
  <si>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</si>
  <si>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</si>
  <si>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</si>
  <si>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</si>
  <si>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</si>
  <si>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</si>
  <si>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</si>
  <si>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</si>
  <si>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</si>
  <si>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</si>
  <si>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</si>
  <si>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</si>
  <si>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</si>
  <si>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</si>
  <si>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</si>
  <si>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</si>
  <si>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</si>
  <si>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</si>
  <si>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</si>
  <si>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</si>
  <si>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</si>
  <si>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</si>
  <si>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</si>
  <si>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</si>
  <si>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</si>
  <si>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</si>
  <si>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</si>
  <si>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</si>
  <si>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</si>
  <si>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</si>
  <si>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</si>
  <si>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</si>
  <si>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</si>
  <si>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</si>
  <si>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</si>
  <si>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</si>
  <si>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</si>
  <si>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</si>
  <si>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</si>
  <si>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</si>
  <si>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</si>
  <si>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</si>
  <si>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</si>
  <si>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</si>
  <si>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</si>
  <si>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</si>
  <si>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</si>
  <si>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</si>
  <si>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</si>
  <si>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</si>
  <si>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</si>
  <si>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</si>
  <si>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</si>
  <si>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</si>
  <si>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</si>
  <si>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</si>
  <si>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</si>
  <si>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</si>
  <si>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</si>
  <si>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</si>
  <si>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</si>
  <si>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</si>
  <si>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</si>
  <si>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</si>
  <si>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</si>
  <si>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</si>
  <si>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</si>
  <si>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</si>
  <si>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</si>
  <si>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</si>
  <si>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</si>
  <si>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</si>
  <si>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</si>
  <si>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</si>
  <si>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</si>
  <si>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</si>
  <si>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</si>
  <si>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</si>
  <si>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</si>
  <si>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</si>
  <si>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</si>
  <si>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</si>
  <si>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</si>
  <si>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</si>
  <si>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</si>
  <si>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</si>
  <si>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</si>
  <si>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</si>
  <si>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</si>
  <si>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</si>
  <si>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</si>
  <si>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</si>
  <si>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</si>
  <si>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</si>
  <si>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</si>
  <si>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</si>
  <si>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</si>
  <si>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</si>
  <si>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</si>
  <si>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</si>
  <si>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</si>
  <si>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</si>
  <si>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</si>
  <si>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</si>
  <si>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</si>
  <si>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</si>
  <si>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</si>
  <si>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</si>
  <si>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</si>
  <si>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</si>
  <si>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</si>
  <si>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</si>
  <si>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</si>
  <si>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</si>
  <si>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</si>
  <si>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</si>
  <si>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</si>
  <si>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</si>
  <si>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</si>
  <si>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</si>
  <si>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</si>
  <si>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</si>
  <si>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</si>
  <si>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</si>
  <si>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</si>
  <si>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</si>
  <si>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</si>
  <si>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</si>
  <si>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</si>
  <si>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</si>
  <si>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</si>
  <si>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</si>
  <si>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</si>
  <si>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</si>
  <si>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</si>
  <si>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</si>
  <si>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</si>
  <si>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</si>
  <si>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</si>
  <si>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</si>
  <si>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</si>
  <si>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</si>
  <si>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</si>
  <si>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</si>
  <si>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</si>
  <si>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</si>
  <si>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</si>
  <si>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</si>
  <si>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</si>
  <si>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</si>
  <si>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</si>
  <si>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</si>
  <si>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</si>
  <si>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</si>
  <si>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</si>
  <si>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</si>
  <si>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</si>
  <si>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</si>
  <si>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</si>
  <si>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</si>
  <si>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</si>
  <si>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</si>
  <si>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</si>
  <si>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</si>
  <si>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</si>
  <si>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</si>
  <si>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</si>
  <si>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</si>
  <si>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</si>
  <si>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</si>
  <si>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</si>
  <si>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</si>
  <si>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</si>
  <si>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</si>
  <si>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</si>
  <si>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</si>
  <si>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</si>
  <si>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</si>
  <si>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</si>
  <si>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</si>
  <si>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</si>
  <si>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</si>
  <si>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</si>
  <si>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</si>
  <si>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</si>
  <si>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</si>
  <si>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</si>
  <si>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</si>
  <si>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</si>
  <si>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</si>
  <si>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</si>
  <si>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</si>
  <si>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</si>
  <si>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</si>
  <si>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</si>
  <si>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</si>
  <si>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</si>
  <si>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</si>
  <si>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</si>
  <si>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</si>
  <si>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</si>
  <si>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</si>
  <si>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</si>
  <si>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</si>
  <si>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</si>
  <si>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</si>
  <si>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Nothing ENV except for Channel Areas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</si>
  <si>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</si>
  <si>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</si>
  <si>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</si>
  <si>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</si>
  <si>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</si>
  <si>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</si>
  <si>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</si>
  <si>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</si>
  <si>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</si>
  <si>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</si>
  <si>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</si>
  <si>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</si>
  <si>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T18S: only allow change in step 1</t>
  </si>
  <si>
    <t>Phase 7a, 9/10 areas: only allow change in steps 4 or 5</t>
  </si>
  <si>
    <t xml:space="preserve">T2-4 POND </t>
  </si>
  <si>
    <t>T3SE ADD (inc all SF)</t>
  </si>
  <si>
    <t>T5-1SF Addition</t>
  </si>
  <si>
    <t>T5-1SF</t>
  </si>
  <si>
    <t>T5-2SF</t>
  </si>
  <si>
    <t>T5-3SF</t>
  </si>
  <si>
    <t>T5-3-2</t>
  </si>
  <si>
    <t>T5-3-3</t>
  </si>
  <si>
    <t>T10-1SF</t>
  </si>
  <si>
    <t>T10-2 Pond Post DWM</t>
  </si>
  <si>
    <t>T10-3 Pond (East)</t>
  </si>
  <si>
    <t>T10-3 Brine (West)</t>
  </si>
  <si>
    <t>T10-1A</t>
  </si>
  <si>
    <t>T13-1SF</t>
  </si>
  <si>
    <t>T13-1 POND</t>
  </si>
  <si>
    <t>T13-1 Add.</t>
  </si>
  <si>
    <t>T16 Original Large Pond</t>
  </si>
  <si>
    <t>T17-1&amp;-2SF</t>
  </si>
  <si>
    <t>T18S - Brine</t>
  </si>
  <si>
    <t xml:space="preserve">T23E </t>
  </si>
  <si>
    <t>T23W</t>
  </si>
  <si>
    <t>T25</t>
  </si>
  <si>
    <t>T27 only</t>
  </si>
  <si>
    <t>T27Add</t>
  </si>
  <si>
    <t>T28-1</t>
  </si>
  <si>
    <t>T28-2</t>
  </si>
  <si>
    <t>T30-1SF</t>
  </si>
  <si>
    <t>T36-1 MV/SF SPRINKLER</t>
  </si>
  <si>
    <t>T36-1 POND</t>
  </si>
  <si>
    <t xml:space="preserve">T36-2 POND </t>
  </si>
  <si>
    <t>T36-2 Brine</t>
  </si>
  <si>
    <t>T36-3 Post Brine&amp;Addition</t>
  </si>
  <si>
    <t>T37-2 Laterals inc MV trans</t>
  </si>
  <si>
    <t>T37-2C Pond</t>
  </si>
  <si>
    <t>T37-2B Pond</t>
  </si>
  <si>
    <t>T37-2A Laterals</t>
  </si>
  <si>
    <t>T37-2D Laterals</t>
  </si>
  <si>
    <t>Veg</t>
  </si>
  <si>
    <t>Tillage, Gravel, Veg, Brine</t>
  </si>
  <si>
    <t>Ponds, SF Lats, Sprinklers, Brine, Traditional MV</t>
  </si>
  <si>
    <t>Gravel, Tillage, Brine</t>
  </si>
  <si>
    <t>Veg, Tillage</t>
  </si>
  <si>
    <t>Gravel, Tillage, Veg</t>
  </si>
  <si>
    <t>veg</t>
  </si>
  <si>
    <t>gravel,tillage,veg</t>
  </si>
  <si>
    <t>tillage,gravel,veg,S.F lats</t>
  </si>
  <si>
    <t>veg,gravel,S.F lats, tillage,brine</t>
  </si>
  <si>
    <t>tillage,gravel,veg,S.F lats,brine</t>
  </si>
  <si>
    <t>veg,gravel</t>
  </si>
  <si>
    <t>tillage</t>
  </si>
  <si>
    <t>veg,tillage,gravel,S.F lats,S.F sprinklers</t>
  </si>
  <si>
    <t>tillage,veg</t>
  </si>
  <si>
    <t>Already brine - no tillage,veg</t>
  </si>
  <si>
    <t>Already Brine - tillage,veg</t>
  </si>
  <si>
    <t>veg,S.F lats</t>
  </si>
  <si>
    <t>veg,S.F lats,tillage,gravel</t>
  </si>
  <si>
    <t>veg,S.F lats,tillage</t>
  </si>
  <si>
    <t>veg, tillage</t>
  </si>
  <si>
    <t>bw</t>
  </si>
  <si>
    <t>mw</t>
  </si>
  <si>
    <t>pl</t>
  </si>
  <si>
    <t>ms</t>
  </si>
  <si>
    <t>md</t>
  </si>
  <si>
    <t>No additional sand fences allowed (besides existing T1A-1)</t>
  </si>
  <si>
    <t>Projected Costs and Revenues Through Step</t>
  </si>
  <si>
    <t>Hardwired Contrainst (written into code):</t>
  </si>
  <si>
    <t xml:space="preserve">Dummy DCM, already accounted for as separate Tillage and Brine DCMs. Kept in this list for consistency with Step 0 assignments. </t>
  </si>
  <si>
    <t>DCM Constraints</t>
  </si>
  <si>
    <t>DCM List</t>
  </si>
  <si>
    <t>Ops Comments</t>
  </si>
  <si>
    <t>All DCAs under waterless DCM in Step 0 should be kept as-is.</t>
  </si>
  <si>
    <t>(DCMs NOT allowed)</t>
  </si>
  <si>
    <t>(Steps where change NOT allowed)</t>
  </si>
  <si>
    <t>Step Constraints</t>
  </si>
  <si>
    <t>S.F lats,gravel,tillage,brine, veg</t>
  </si>
  <si>
    <t>All DCAs must be under dust control - no "None" DCMs allowed</t>
  </si>
  <si>
    <t>Meadow is hard to establish, don't add Meadow, only remove</t>
  </si>
  <si>
    <t>O&amp;M Breakdown by Step</t>
  </si>
  <si>
    <t>Step 0</t>
  </si>
  <si>
    <t>MP Owned</t>
  </si>
  <si>
    <t>Outside MP</t>
  </si>
  <si>
    <t>Sub_Total</t>
  </si>
  <si>
    <t>normal operating conditions, estblishment is higher water use</t>
  </si>
  <si>
    <t>tillage,gravel</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</si>
</sst>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s>
  <fonts count="3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9"/>
      <color indexed="81"/>
      <name val="Tahoma"/>
      <family val="2"/>
    </font>
    <font>
      <b/>
      <sz val="9"/>
      <color indexed="81"/>
      <name val="Tahoma"/>
      <family val="2"/>
    </font>
  </fonts>
  <fills count="1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s>
  <cellStyleXfs count="87">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5" borderId="103"/>
    <xf numFmtId="43" fontId="3" fillId="0" borderId="0" applyFont="0" applyFill="0" applyBorder="0" applyAlignment="0" applyProtection="0"/>
  </cellStyleXfs>
  <cellXfs count="658">
    <xf numFmtId="0" fontId="0" fillId="0" borderId="0" xfId="0"/>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3" xfId="0" applyFont="1" applyBorder="1"/>
    <xf numFmtId="0" fontId="8" fillId="0" borderId="11" xfId="0" applyFont="1" applyBorder="1" applyAlignment="1">
      <alignment horizontal="center"/>
    </xf>
    <xf numFmtId="0" fontId="6" fillId="2" borderId="14" xfId="0" applyFont="1" applyFill="1" applyBorder="1" applyAlignment="1">
      <alignment horizontal="center" vertical="center"/>
    </xf>
    <xf numFmtId="0" fontId="3" fillId="0" borderId="0" xfId="0" applyFont="1"/>
    <xf numFmtId="0" fontId="6" fillId="2" borderId="50"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12"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3"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6" xfId="0" applyFont="1" applyBorder="1" applyAlignment="1" applyProtection="1">
      <alignment horizontal="center" vertical="center"/>
      <protection locked="0"/>
    </xf>
    <xf numFmtId="10" fontId="6" fillId="0" borderId="36" xfId="0" applyNumberFormat="1" applyFont="1" applyBorder="1" applyAlignment="1" applyProtection="1">
      <alignment horizontal="center" vertical="center"/>
      <protection locked="0"/>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167" fontId="5" fillId="0" borderId="6" xfId="0" applyNumberFormat="1" applyFont="1" applyBorder="1"/>
    <xf numFmtId="167" fontId="5" fillId="0" borderId="41"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1" xfId="0" applyNumberFormat="1" applyFont="1" applyFill="1" applyBorder="1"/>
    <xf numFmtId="0" fontId="6" fillId="2" borderId="21"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0" xfId="0" applyNumberFormat="1" applyFont="1" applyFill="1" applyBorder="1"/>
    <xf numFmtId="0" fontId="7" fillId="2" borderId="51" xfId="0" applyFont="1" applyFill="1" applyBorder="1" applyAlignment="1">
      <alignment horizontal="center" vertical="center"/>
    </xf>
    <xf numFmtId="0" fontId="6" fillId="2" borderId="51"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4" xfId="0" applyFont="1" applyFill="1" applyBorder="1" applyAlignment="1">
      <alignment horizontal="center" vertical="center" wrapText="1"/>
    </xf>
    <xf numFmtId="0" fontId="1" fillId="0" borderId="52" xfId="0" applyFont="1" applyBorder="1" applyAlignment="1" applyProtection="1">
      <alignment horizontal="center" vertical="center"/>
      <protection locked="0"/>
    </xf>
    <xf numFmtId="10" fontId="6" fillId="0" borderId="52"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1" fillId="6" borderId="38" xfId="0" applyFont="1" applyFill="1" applyBorder="1" applyAlignment="1">
      <alignment horizontal="center" vertical="center"/>
    </xf>
    <xf numFmtId="0" fontId="1" fillId="0" borderId="36"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5" xfId="0" applyBorder="1"/>
    <xf numFmtId="0" fontId="18"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66" fontId="1" fillId="0" borderId="36"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2"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6" xfId="0" applyNumberFormat="1" applyFont="1" applyFill="1" applyBorder="1"/>
    <xf numFmtId="165" fontId="6" fillId="5" borderId="28"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6" xfId="0" applyNumberFormat="1" applyBorder="1"/>
    <xf numFmtId="0" fontId="0" fillId="0" borderId="56"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7" xfId="2" applyNumberFormat="1" applyFont="1" applyBorder="1" applyAlignment="1">
      <alignment horizontal="center" wrapText="1"/>
    </xf>
    <xf numFmtId="1" fontId="9" fillId="0" borderId="26" xfId="2" applyNumberFormat="1" applyFont="1" applyBorder="1" applyAlignment="1">
      <alignment horizontal="center" wrapText="1"/>
    </xf>
    <xf numFmtId="0" fontId="9" fillId="0" borderId="33" xfId="2" applyFont="1" applyBorder="1" applyAlignment="1">
      <alignment horizontal="center" wrapText="1"/>
    </xf>
    <xf numFmtId="0" fontId="9" fillId="0" borderId="28" xfId="2" applyFont="1" applyBorder="1" applyAlignment="1">
      <alignment horizontal="center" wrapText="1"/>
    </xf>
    <xf numFmtId="0" fontId="9" fillId="0" borderId="30" xfId="2" applyFont="1" applyBorder="1" applyAlignment="1">
      <alignment horizontal="center" wrapText="1"/>
    </xf>
    <xf numFmtId="0" fontId="9" fillId="0" borderId="34" xfId="2" applyFont="1" applyBorder="1" applyAlignment="1">
      <alignment wrapText="1"/>
    </xf>
    <xf numFmtId="0" fontId="3" fillId="0" borderId="0" xfId="2" applyAlignment="1">
      <alignment wrapText="1"/>
    </xf>
    <xf numFmtId="1" fontId="9" fillId="5" borderId="49" xfId="2" applyNumberFormat="1" applyFont="1" applyFill="1" applyBorder="1" applyAlignment="1">
      <alignment horizontal="center" wrapText="1"/>
    </xf>
    <xf numFmtId="0" fontId="3" fillId="5" borderId="48" xfId="2" applyFill="1" applyBorder="1" applyAlignment="1">
      <alignment wrapText="1"/>
    </xf>
    <xf numFmtId="3" fontId="9" fillId="5" borderId="50" xfId="2" applyNumberFormat="1" applyFont="1" applyFill="1" applyBorder="1" applyAlignment="1">
      <alignment wrapText="1"/>
    </xf>
    <xf numFmtId="3" fontId="9" fillId="5" borderId="57"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3" fillId="5" borderId="51" xfId="2" applyNumberFormat="1" applyFont="1" applyFill="1" applyBorder="1" applyAlignment="1">
      <alignment wrapText="1"/>
    </xf>
    <xf numFmtId="6" fontId="3" fillId="5" borderId="60" xfId="2" applyNumberFormat="1" applyFont="1" applyFill="1" applyBorder="1" applyAlignment="1">
      <alignment horizontal="right" wrapText="1"/>
    </xf>
    <xf numFmtId="6" fontId="3" fillId="5" borderId="60" xfId="2" applyNumberFormat="1" applyFont="1" applyFill="1" applyBorder="1" applyAlignment="1">
      <alignment horizontal="center" wrapText="1"/>
    </xf>
    <xf numFmtId="1" fontId="3" fillId="5" borderId="60" xfId="2" applyNumberFormat="1" applyFont="1" applyFill="1" applyBorder="1" applyAlignment="1">
      <alignment horizontal="center" wrapText="1"/>
    </xf>
    <xf numFmtId="0" fontId="3" fillId="5" borderId="60" xfId="2" applyFill="1" applyBorder="1" applyAlignment="1">
      <alignment wrapText="1"/>
    </xf>
    <xf numFmtId="3" fontId="3" fillId="5" borderId="6" xfId="2" applyNumberFormat="1" applyFont="1" applyFill="1" applyBorder="1" applyAlignment="1">
      <alignment wrapText="1"/>
    </xf>
    <xf numFmtId="3" fontId="9" fillId="5" borderId="56"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1" xfId="2" applyNumberFormat="1" applyFont="1" applyFill="1" applyBorder="1" applyAlignment="1">
      <alignment wrapText="1"/>
    </xf>
    <xf numFmtId="0" fontId="3" fillId="5" borderId="60" xfId="2" applyFont="1" applyFill="1" applyBorder="1" applyAlignment="1">
      <alignment horizontal="right" wrapText="1"/>
    </xf>
    <xf numFmtId="0" fontId="3" fillId="5" borderId="60" xfId="2" applyFont="1" applyFill="1" applyBorder="1" applyAlignment="1">
      <alignment horizontal="center" wrapText="1"/>
    </xf>
    <xf numFmtId="0" fontId="3" fillId="5" borderId="60" xfId="2" applyFill="1" applyBorder="1" applyAlignment="1">
      <alignment horizontal="right" wrapText="1"/>
    </xf>
    <xf numFmtId="1" fontId="3" fillId="5" borderId="60"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6"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1" xfId="2" applyNumberFormat="1" applyFont="1" applyFill="1" applyBorder="1" applyAlignment="1">
      <alignment wrapText="1"/>
    </xf>
    <xf numFmtId="0" fontId="3" fillId="5" borderId="62" xfId="2" applyFill="1" applyBorder="1" applyAlignment="1">
      <alignment horizontal="right" wrapText="1"/>
    </xf>
    <xf numFmtId="1" fontId="3" fillId="5" borderId="63" xfId="2" applyNumberFormat="1" applyFill="1" applyBorder="1" applyAlignment="1">
      <alignment horizontal="center" wrapText="1"/>
    </xf>
    <xf numFmtId="0" fontId="3" fillId="5" borderId="63" xfId="2" applyFill="1" applyBorder="1" applyAlignment="1">
      <alignment wrapText="1"/>
    </xf>
    <xf numFmtId="169" fontId="9" fillId="5" borderId="64" xfId="2" applyNumberFormat="1" applyFont="1"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3" fillId="5" borderId="46" xfId="2" applyNumberFormat="1" applyFont="1" applyFill="1" applyBorder="1" applyAlignment="1">
      <alignment wrapText="1"/>
    </xf>
    <xf numFmtId="0" fontId="3" fillId="5" borderId="71" xfId="2" applyFill="1" applyBorder="1" applyAlignment="1">
      <alignment wrapText="1"/>
    </xf>
    <xf numFmtId="169" fontId="9" fillId="5" borderId="72" xfId="2" applyNumberFormat="1" applyFont="1"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0" xfId="2" applyNumberFormat="1" applyFont="1" applyFill="1" applyBorder="1" applyAlignment="1">
      <alignment wrapText="1"/>
    </xf>
    <xf numFmtId="1" fontId="3" fillId="10" borderId="77" xfId="2" applyNumberFormat="1" applyFont="1" applyFill="1" applyBorder="1" applyAlignment="1">
      <alignment horizontal="center" wrapText="1"/>
    </xf>
    <xf numFmtId="0" fontId="3" fillId="10" borderId="78" xfId="2" applyFill="1" applyBorder="1" applyAlignment="1">
      <alignment wrapText="1"/>
    </xf>
    <xf numFmtId="169" fontId="3" fillId="10" borderId="12" xfId="2" applyNumberFormat="1" applyFill="1" applyBorder="1" applyAlignment="1">
      <alignment wrapText="1"/>
    </xf>
    <xf numFmtId="169" fontId="3" fillId="10" borderId="11" xfId="2" applyNumberFormat="1" applyFill="1" applyBorder="1" applyAlignment="1">
      <alignment wrapText="1"/>
    </xf>
    <xf numFmtId="169" fontId="3" fillId="10" borderId="22" xfId="2" applyNumberFormat="1" applyFill="1" applyBorder="1" applyAlignment="1">
      <alignment wrapText="1"/>
    </xf>
    <xf numFmtId="169" fontId="3" fillId="10" borderId="13" xfId="2" applyNumberFormat="1" applyFill="1" applyBorder="1" applyAlignment="1">
      <alignment wrapText="1"/>
    </xf>
    <xf numFmtId="169" fontId="3" fillId="10" borderId="40" xfId="2" applyNumberFormat="1" applyFont="1" applyFill="1" applyBorder="1" applyAlignment="1">
      <alignment wrapText="1"/>
    </xf>
    <xf numFmtId="6" fontId="3" fillId="10" borderId="60" xfId="2" applyNumberFormat="1" applyFont="1" applyFill="1" applyBorder="1" applyAlignment="1">
      <alignment horizontal="right" wrapText="1"/>
    </xf>
    <xf numFmtId="6" fontId="3" fillId="10" borderId="60" xfId="2" applyNumberFormat="1" applyFont="1" applyFill="1" applyBorder="1" applyAlignment="1">
      <alignment horizontal="center" wrapText="1"/>
    </xf>
    <xf numFmtId="1" fontId="3" fillId="10" borderId="60" xfId="2" applyNumberFormat="1" applyFont="1" applyFill="1" applyBorder="1" applyAlignment="1">
      <alignment horizontal="center" wrapText="1"/>
    </xf>
    <xf numFmtId="0" fontId="3" fillId="10" borderId="61" xfId="2" applyFill="1" applyBorder="1" applyAlignment="1">
      <alignment wrapText="1"/>
    </xf>
    <xf numFmtId="169" fontId="3" fillId="10" borderId="6" xfId="2" applyNumberFormat="1" applyFill="1" applyBorder="1" applyAlignment="1">
      <alignment wrapText="1"/>
    </xf>
    <xf numFmtId="169" fontId="3" fillId="10" borderId="56" xfId="2" applyNumberFormat="1" applyFill="1" applyBorder="1" applyAlignment="1">
      <alignment wrapText="1"/>
    </xf>
    <xf numFmtId="169" fontId="3" fillId="10" borderId="2" xfId="2" applyNumberFormat="1" applyFill="1" applyBorder="1" applyAlignment="1">
      <alignment wrapText="1"/>
    </xf>
    <xf numFmtId="169" fontId="3" fillId="10" borderId="7" xfId="2" applyNumberFormat="1" applyFill="1" applyBorder="1" applyAlignment="1">
      <alignment wrapText="1"/>
    </xf>
    <xf numFmtId="169" fontId="3" fillId="10" borderId="41" xfId="2" applyNumberFormat="1" applyFont="1" applyFill="1" applyBorder="1" applyAlignment="1">
      <alignment wrapText="1"/>
    </xf>
    <xf numFmtId="0" fontId="3" fillId="10" borderId="60" xfId="2" applyFont="1" applyFill="1" applyBorder="1" applyAlignment="1">
      <alignment horizontal="right" wrapText="1"/>
    </xf>
    <xf numFmtId="0" fontId="3" fillId="10" borderId="60" xfId="2" applyFont="1" applyFill="1" applyBorder="1" applyAlignment="1">
      <alignment horizontal="center" wrapText="1"/>
    </xf>
    <xf numFmtId="0" fontId="3" fillId="10" borderId="60" xfId="2" applyFill="1" applyBorder="1" applyAlignment="1">
      <alignment horizontal="right" wrapText="1"/>
    </xf>
    <xf numFmtId="1" fontId="3" fillId="10" borderId="60" xfId="2" applyNumberFormat="1" applyFill="1" applyBorder="1" applyAlignment="1">
      <alignment horizontal="center" wrapText="1"/>
    </xf>
    <xf numFmtId="0" fontId="3" fillId="10" borderId="79" xfId="2" applyFill="1" applyBorder="1" applyAlignment="1">
      <alignment horizontal="right" wrapText="1"/>
    </xf>
    <xf numFmtId="1" fontId="3" fillId="10" borderId="79" xfId="2" applyNumberFormat="1" applyFill="1" applyBorder="1" applyAlignment="1">
      <alignment horizontal="center" wrapText="1"/>
    </xf>
    <xf numFmtId="0" fontId="3" fillId="10" borderId="63" xfId="2" applyFont="1" applyFill="1" applyBorder="1" applyAlignment="1">
      <alignment wrapText="1"/>
    </xf>
    <xf numFmtId="169" fontId="3" fillId="10" borderId="8" xfId="2" applyNumberFormat="1" applyFill="1" applyBorder="1" applyAlignment="1">
      <alignment wrapText="1"/>
    </xf>
    <xf numFmtId="169" fontId="3" fillId="10" borderId="9" xfId="2" applyNumberFormat="1" applyFill="1" applyBorder="1" applyAlignment="1">
      <alignment wrapText="1"/>
    </xf>
    <xf numFmtId="169" fontId="3" fillId="10" borderId="80" xfId="2" applyNumberFormat="1" applyFill="1" applyBorder="1" applyAlignment="1">
      <alignment wrapText="1"/>
    </xf>
    <xf numFmtId="169" fontId="3" fillId="10" borderId="10" xfId="2" applyNumberFormat="1" applyFill="1" applyBorder="1" applyAlignment="1">
      <alignment wrapText="1"/>
    </xf>
    <xf numFmtId="169" fontId="3" fillId="10" borderId="81"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0" borderId="82" xfId="2" applyFont="1" applyFill="1" applyBorder="1" applyAlignment="1">
      <alignment wrapText="1"/>
    </xf>
    <xf numFmtId="169" fontId="9" fillId="10" borderId="83" xfId="2" applyNumberFormat="1" applyFont="1" applyFill="1" applyBorder="1" applyAlignment="1">
      <alignment wrapText="1"/>
    </xf>
    <xf numFmtId="169" fontId="9" fillId="10" borderId="84" xfId="2" applyNumberFormat="1" applyFont="1" applyFill="1" applyBorder="1" applyAlignment="1">
      <alignment wrapText="1"/>
    </xf>
    <xf numFmtId="169" fontId="9" fillId="10" borderId="85" xfId="2" applyNumberFormat="1" applyFont="1" applyFill="1" applyBorder="1" applyAlignment="1">
      <alignment wrapText="1"/>
    </xf>
    <xf numFmtId="169" fontId="9" fillId="10" borderId="86" xfId="2" applyNumberFormat="1" applyFont="1" applyFill="1" applyBorder="1" applyAlignment="1">
      <alignment wrapText="1"/>
    </xf>
    <xf numFmtId="169" fontId="9" fillId="10" borderId="87"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7" xfId="2" applyNumberFormat="1" applyFont="1" applyFill="1" applyBorder="1" applyAlignment="1">
      <alignment horizontal="center" wrapText="1"/>
    </xf>
    <xf numFmtId="0" fontId="3" fillId="7" borderId="78" xfId="2" applyFill="1" applyBorder="1" applyAlignment="1">
      <alignment wrapText="1"/>
    </xf>
    <xf numFmtId="169" fontId="3" fillId="7" borderId="88" xfId="2" applyNumberFormat="1"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77" xfId="2" applyNumberFormat="1" applyFont="1" applyFill="1" applyBorder="1" applyAlignment="1">
      <alignment wrapText="1"/>
    </xf>
    <xf numFmtId="6" fontId="3" fillId="7" borderId="60" xfId="2" applyNumberFormat="1" applyFont="1" applyFill="1" applyBorder="1" applyAlignment="1">
      <alignment horizontal="right" wrapText="1"/>
    </xf>
    <xf numFmtId="6" fontId="3" fillId="7" borderId="60" xfId="2" applyNumberFormat="1" applyFont="1" applyFill="1" applyBorder="1" applyAlignment="1">
      <alignment horizontal="center" wrapText="1"/>
    </xf>
    <xf numFmtId="1" fontId="3" fillId="7" borderId="60" xfId="2" applyNumberFormat="1" applyFont="1" applyFill="1" applyBorder="1" applyAlignment="1">
      <alignment horizontal="center" wrapText="1"/>
    </xf>
    <xf numFmtId="0" fontId="3" fillId="7" borderId="61" xfId="2" applyFill="1" applyBorder="1" applyAlignment="1">
      <alignment wrapText="1"/>
    </xf>
    <xf numFmtId="169" fontId="3" fillId="7" borderId="6" xfId="2" applyNumberFormat="1" applyFill="1" applyBorder="1" applyAlignment="1">
      <alignment wrapText="1"/>
    </xf>
    <xf numFmtId="169" fontId="3" fillId="7" borderId="56"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1" xfId="2" applyNumberFormat="1" applyFont="1" applyFill="1" applyBorder="1" applyAlignment="1">
      <alignment wrapText="1"/>
    </xf>
    <xf numFmtId="0" fontId="3" fillId="7" borderId="60" xfId="2" applyFont="1" applyFill="1" applyBorder="1" applyAlignment="1">
      <alignment horizontal="right" wrapText="1"/>
    </xf>
    <xf numFmtId="0" fontId="3" fillId="7" borderId="60" xfId="2" applyFont="1" applyFill="1" applyBorder="1" applyAlignment="1">
      <alignment horizontal="center" wrapText="1"/>
    </xf>
    <xf numFmtId="0" fontId="3" fillId="7" borderId="60" xfId="2" applyFill="1" applyBorder="1" applyAlignment="1">
      <alignment horizontal="right" wrapText="1"/>
    </xf>
    <xf numFmtId="1" fontId="3" fillId="7" borderId="60" xfId="2" applyNumberFormat="1" applyFill="1" applyBorder="1" applyAlignment="1">
      <alignment horizontal="center" wrapText="1"/>
    </xf>
    <xf numFmtId="0" fontId="3" fillId="7" borderId="79" xfId="2" applyFill="1" applyBorder="1" applyAlignment="1">
      <alignment horizontal="right" wrapText="1"/>
    </xf>
    <xf numFmtId="1" fontId="3" fillId="7" borderId="79" xfId="2" applyNumberFormat="1" applyFill="1" applyBorder="1" applyAlignment="1">
      <alignment horizontal="center" wrapText="1"/>
    </xf>
    <xf numFmtId="0" fontId="3" fillId="7" borderId="92" xfId="2" applyFill="1" applyBorder="1" applyAlignment="1">
      <alignment wrapText="1"/>
    </xf>
    <xf numFmtId="169" fontId="3" fillId="7" borderId="44" xfId="2" applyNumberFormat="1" applyFill="1" applyBorder="1" applyAlignment="1">
      <alignment wrapText="1"/>
    </xf>
    <xf numFmtId="169" fontId="3" fillId="7" borderId="29" xfId="2" applyNumberFormat="1" applyFill="1" applyBorder="1" applyAlignment="1">
      <alignment wrapText="1"/>
    </xf>
    <xf numFmtId="169" fontId="3" fillId="7" borderId="93" xfId="2" applyNumberFormat="1" applyFill="1" applyBorder="1" applyAlignment="1">
      <alignment wrapText="1"/>
    </xf>
    <xf numFmtId="169" fontId="3" fillId="7" borderId="20" xfId="2" applyNumberFormat="1" applyFill="1" applyBorder="1" applyAlignment="1">
      <alignment wrapText="1"/>
    </xf>
    <xf numFmtId="169" fontId="3" fillId="7" borderId="94" xfId="2" applyNumberFormat="1" applyFont="1" applyFill="1" applyBorder="1" applyAlignment="1">
      <alignment wrapText="1"/>
    </xf>
    <xf numFmtId="0" fontId="3" fillId="7" borderId="68" xfId="2" applyFill="1" applyBorder="1" applyAlignment="1">
      <alignment wrapText="1"/>
    </xf>
    <xf numFmtId="169" fontId="9" fillId="7" borderId="72" xfId="2" applyNumberFormat="1" applyFont="1" applyFill="1" applyBorder="1" applyAlignment="1">
      <alignment wrapText="1"/>
    </xf>
    <xf numFmtId="169" fontId="9" fillId="7" borderId="73" xfId="2" applyNumberFormat="1" applyFont="1" applyFill="1" applyBorder="1" applyAlignment="1">
      <alignment wrapText="1"/>
    </xf>
    <xf numFmtId="169" fontId="9" fillId="7" borderId="75" xfId="2" applyNumberFormat="1" applyFont="1" applyFill="1" applyBorder="1" applyAlignment="1">
      <alignment wrapText="1"/>
    </xf>
    <xf numFmtId="169" fontId="9" fillId="7" borderId="95" xfId="2" applyNumberFormat="1" applyFont="1" applyFill="1" applyBorder="1" applyAlignment="1">
      <alignment wrapText="1"/>
    </xf>
    <xf numFmtId="1" fontId="3" fillId="11" borderId="100" xfId="2" applyNumberFormat="1" applyFont="1" applyFill="1" applyBorder="1" applyAlignment="1">
      <alignment horizontal="center" wrapText="1"/>
    </xf>
    <xf numFmtId="0" fontId="3" fillId="11" borderId="101" xfId="2" applyFont="1" applyFill="1" applyBorder="1" applyAlignment="1">
      <alignment wrapText="1"/>
    </xf>
    <xf numFmtId="169" fontId="3" fillId="11" borderId="12" xfId="2" applyNumberFormat="1" applyFill="1" applyBorder="1" applyAlignment="1">
      <alignment wrapText="1"/>
    </xf>
    <xf numFmtId="169" fontId="3" fillId="11" borderId="11" xfId="2" applyNumberFormat="1" applyFill="1" applyBorder="1" applyAlignment="1">
      <alignment wrapText="1"/>
    </xf>
    <xf numFmtId="169" fontId="3" fillId="11" borderId="22" xfId="2" applyNumberFormat="1" applyFill="1" applyBorder="1" applyAlignment="1">
      <alignment wrapText="1"/>
    </xf>
    <xf numFmtId="169" fontId="3" fillId="11" borderId="13" xfId="2" applyNumberFormat="1" applyFill="1" applyBorder="1" applyAlignment="1">
      <alignment wrapText="1"/>
    </xf>
    <xf numFmtId="169" fontId="3" fillId="11" borderId="40" xfId="2" applyNumberFormat="1" applyFont="1" applyFill="1" applyBorder="1" applyAlignment="1">
      <alignment wrapText="1"/>
    </xf>
    <xf numFmtId="6" fontId="3" fillId="11" borderId="60" xfId="2" applyNumberFormat="1" applyFont="1" applyFill="1" applyBorder="1" applyAlignment="1">
      <alignment horizontal="right" wrapText="1"/>
    </xf>
    <xf numFmtId="6" fontId="3" fillId="11" borderId="60" xfId="2" applyNumberFormat="1" applyFont="1" applyFill="1" applyBorder="1" applyAlignment="1">
      <alignment horizontal="center" wrapText="1"/>
    </xf>
    <xf numFmtId="1" fontId="3" fillId="11" borderId="101" xfId="2" applyNumberFormat="1" applyFont="1" applyFill="1" applyBorder="1" applyAlignment="1">
      <alignment horizontal="center" wrapText="1"/>
    </xf>
    <xf numFmtId="169" fontId="3" fillId="11" borderId="56" xfId="2" applyNumberFormat="1" applyFill="1" applyBorder="1" applyAlignment="1">
      <alignment wrapText="1"/>
    </xf>
    <xf numFmtId="169" fontId="3" fillId="11" borderId="2" xfId="2" applyNumberFormat="1" applyFill="1" applyBorder="1" applyAlignment="1">
      <alignment wrapText="1"/>
    </xf>
    <xf numFmtId="169" fontId="3" fillId="11" borderId="7" xfId="2" applyNumberFormat="1" applyFill="1" applyBorder="1" applyAlignment="1">
      <alignment wrapText="1"/>
    </xf>
    <xf numFmtId="0" fontId="3" fillId="11" borderId="60" xfId="2" applyFont="1" applyFill="1" applyBorder="1" applyAlignment="1">
      <alignment horizontal="right" wrapText="1"/>
    </xf>
    <xf numFmtId="1" fontId="3" fillId="11" borderId="61" xfId="2" applyNumberFormat="1" applyFont="1" applyFill="1" applyBorder="1" applyAlignment="1">
      <alignment horizontal="center" wrapText="1"/>
    </xf>
    <xf numFmtId="0" fontId="3" fillId="11" borderId="61" xfId="2" applyFill="1" applyBorder="1" applyAlignment="1">
      <alignment wrapText="1"/>
    </xf>
    <xf numFmtId="169" fontId="3" fillId="11" borderId="60" xfId="2" applyNumberFormat="1" applyFill="1" applyBorder="1" applyAlignment="1">
      <alignment wrapText="1"/>
    </xf>
    <xf numFmtId="169" fontId="3" fillId="11" borderId="3" xfId="2" applyNumberFormat="1" applyFill="1" applyBorder="1" applyAlignment="1">
      <alignment wrapText="1"/>
    </xf>
    <xf numFmtId="0" fontId="3" fillId="11" borderId="60" xfId="2" applyFill="1" applyBorder="1" applyAlignment="1">
      <alignment horizontal="right" wrapText="1"/>
    </xf>
    <xf numFmtId="0" fontId="3" fillId="11" borderId="61" xfId="2" applyFont="1" applyFill="1" applyBorder="1" applyAlignment="1">
      <alignment wrapText="1"/>
    </xf>
    <xf numFmtId="0" fontId="3" fillId="11" borderId="62" xfId="2" applyFill="1" applyBorder="1" applyAlignment="1">
      <alignment horizontal="right" wrapText="1"/>
    </xf>
    <xf numFmtId="1" fontId="3" fillId="11" borderId="61" xfId="2" applyNumberFormat="1" applyFill="1" applyBorder="1" applyAlignment="1">
      <alignment horizontal="center" wrapText="1"/>
    </xf>
    <xf numFmtId="169" fontId="3" fillId="11" borderId="29" xfId="2" applyNumberFormat="1" applyFill="1" applyBorder="1" applyAlignment="1">
      <alignment wrapText="1"/>
    </xf>
    <xf numFmtId="169" fontId="3" fillId="11" borderId="93" xfId="2" applyNumberFormat="1" applyFill="1" applyBorder="1" applyAlignment="1">
      <alignment wrapText="1"/>
    </xf>
    <xf numFmtId="169" fontId="3" fillId="11" borderId="20" xfId="2" applyNumberFormat="1" applyFill="1" applyBorder="1" applyAlignment="1">
      <alignment wrapText="1"/>
    </xf>
    <xf numFmtId="0" fontId="3" fillId="11" borderId="79" xfId="2" applyFill="1" applyBorder="1" applyAlignment="1">
      <alignment horizontal="right" wrapText="1"/>
    </xf>
    <xf numFmtId="1" fontId="3" fillId="11" borderId="63" xfId="2" applyNumberFormat="1" applyFill="1" applyBorder="1" applyAlignment="1">
      <alignment horizontal="center" wrapText="1"/>
    </xf>
    <xf numFmtId="0" fontId="3" fillId="11" borderId="63" xfId="2" applyFont="1" applyFill="1" applyBorder="1" applyAlignment="1">
      <alignment wrapText="1"/>
    </xf>
    <xf numFmtId="169" fontId="3" fillId="11" borderId="79" xfId="2" applyNumberFormat="1" applyFill="1" applyBorder="1" applyAlignment="1">
      <alignment wrapText="1"/>
    </xf>
    <xf numFmtId="169" fontId="3" fillId="11" borderId="9" xfId="2" applyNumberFormat="1" applyFill="1" applyBorder="1" applyAlignment="1">
      <alignment wrapText="1"/>
    </xf>
    <xf numFmtId="169" fontId="3" fillId="11" borderId="24" xfId="2" applyNumberFormat="1" applyFill="1" applyBorder="1" applyAlignment="1">
      <alignment wrapText="1"/>
    </xf>
    <xf numFmtId="169" fontId="3" fillId="11" borderId="80" xfId="2" applyNumberFormat="1" applyFill="1" applyBorder="1" applyAlignment="1">
      <alignment wrapText="1"/>
    </xf>
    <xf numFmtId="169" fontId="3" fillId="11" borderId="10" xfId="2" applyNumberFormat="1" applyFill="1" applyBorder="1" applyAlignment="1">
      <alignment wrapText="1"/>
    </xf>
    <xf numFmtId="169" fontId="3" fillId="11" borderId="81" xfId="2" applyNumberFormat="1" applyFont="1" applyFill="1" applyBorder="1" applyAlignment="1">
      <alignment wrapText="1"/>
    </xf>
    <xf numFmtId="169" fontId="3" fillId="0" borderId="0" xfId="2" applyNumberFormat="1" applyAlignment="1">
      <alignment wrapText="1"/>
    </xf>
    <xf numFmtId="169" fontId="3" fillId="11" borderId="41" xfId="2" applyNumberFormat="1" applyFont="1" applyFill="1" applyBorder="1" applyAlignment="1">
      <alignment wrapText="1"/>
    </xf>
    <xf numFmtId="169" fontId="3" fillId="11" borderId="102" xfId="2" applyNumberFormat="1" applyFill="1" applyBorder="1" applyAlignment="1">
      <alignment wrapText="1"/>
    </xf>
    <xf numFmtId="169" fontId="3" fillId="11" borderId="62" xfId="2" applyNumberFormat="1" applyFill="1" applyBorder="1" applyAlignment="1">
      <alignment wrapText="1"/>
    </xf>
    <xf numFmtId="169" fontId="3" fillId="11" borderId="23" xfId="2" applyNumberFormat="1" applyFill="1" applyBorder="1" applyAlignment="1">
      <alignment wrapText="1"/>
    </xf>
    <xf numFmtId="3" fontId="9" fillId="11" borderId="68" xfId="2" applyNumberFormat="1" applyFont="1" applyFill="1" applyBorder="1" applyAlignment="1">
      <alignment horizontal="center" wrapText="1"/>
    </xf>
    <xf numFmtId="169" fontId="9" fillId="11" borderId="72" xfId="2" applyNumberFormat="1" applyFont="1" applyFill="1" applyBorder="1" applyAlignment="1">
      <alignment horizontal="center" wrapText="1"/>
    </xf>
    <xf numFmtId="169" fontId="9" fillId="11" borderId="73" xfId="2" applyNumberFormat="1" applyFont="1" applyFill="1" applyBorder="1" applyAlignment="1">
      <alignment horizontal="center" wrapText="1"/>
    </xf>
    <xf numFmtId="169" fontId="9" fillId="11" borderId="70" xfId="2" applyNumberFormat="1" applyFont="1" applyFill="1" applyBorder="1" applyAlignment="1">
      <alignment horizontal="center" wrapText="1"/>
    </xf>
    <xf numFmtId="3" fontId="9" fillId="11" borderId="0" xfId="2" applyNumberFormat="1" applyFont="1" applyFill="1" applyBorder="1" applyAlignment="1">
      <alignment horizontal="center" wrapText="1"/>
    </xf>
    <xf numFmtId="169" fontId="9" fillId="11" borderId="0" xfId="2" applyNumberFormat="1" applyFont="1" applyFill="1" applyBorder="1" applyAlignment="1">
      <alignment horizontal="center" wrapText="1"/>
    </xf>
    <xf numFmtId="0" fontId="9" fillId="11" borderId="0" xfId="2" applyFont="1" applyFill="1" applyBorder="1" applyAlignment="1">
      <alignment horizontal="center" wrapText="1"/>
    </xf>
    <xf numFmtId="0" fontId="9" fillId="11" borderId="0" xfId="2" applyFont="1" applyFill="1" applyAlignment="1"/>
    <xf numFmtId="169" fontId="3" fillId="11" borderId="0" xfId="2" applyNumberFormat="1" applyFill="1" applyAlignment="1"/>
    <xf numFmtId="0" fontId="3" fillId="0" borderId="0" xfId="2" applyAlignment="1"/>
    <xf numFmtId="0" fontId="3" fillId="11" borderId="0" xfId="2" applyFill="1" applyAlignment="1"/>
    <xf numFmtId="1" fontId="3" fillId="7" borderId="43" xfId="2" applyNumberFormat="1" applyFont="1" applyFill="1" applyBorder="1" applyAlignment="1">
      <alignment horizontal="center" wrapText="1"/>
    </xf>
    <xf numFmtId="0" fontId="3" fillId="7" borderId="100" xfId="2" applyFill="1" applyBorder="1" applyAlignment="1">
      <alignment wrapText="1"/>
    </xf>
    <xf numFmtId="169" fontId="3" fillId="7" borderId="4" xfId="2" applyNumberFormat="1" applyFill="1" applyBorder="1" applyAlignment="1">
      <alignment wrapText="1"/>
    </xf>
    <xf numFmtId="169" fontId="3" fillId="7" borderId="32" xfId="2" applyNumberFormat="1" applyFill="1" applyBorder="1" applyAlignment="1">
      <alignment wrapText="1"/>
    </xf>
    <xf numFmtId="169" fontId="3" fillId="7" borderId="53" xfId="2" applyNumberFormat="1" applyFill="1" applyBorder="1" applyAlignment="1">
      <alignment wrapText="1"/>
    </xf>
    <xf numFmtId="169" fontId="3" fillId="7" borderId="5" xfId="2" applyNumberFormat="1" applyFill="1" applyBorder="1" applyAlignment="1">
      <alignment wrapText="1"/>
    </xf>
    <xf numFmtId="169" fontId="3" fillId="7" borderId="43" xfId="2" applyNumberFormat="1" applyFont="1" applyFill="1" applyBorder="1" applyAlignment="1">
      <alignment wrapText="1"/>
    </xf>
    <xf numFmtId="169" fontId="3" fillId="7" borderId="11" xfId="2" applyNumberFormat="1" applyFill="1" applyBorder="1" applyAlignment="1">
      <alignment wrapText="1"/>
    </xf>
    <xf numFmtId="0" fontId="3" fillId="7" borderId="61" xfId="2" applyFont="1" applyFill="1" applyBorder="1" applyAlignment="1">
      <alignment wrapText="1"/>
    </xf>
    <xf numFmtId="0" fontId="3" fillId="7" borderId="63"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0" xfId="2" applyNumberFormat="1" applyFill="1" applyBorder="1" applyAlignment="1">
      <alignment wrapText="1"/>
    </xf>
    <xf numFmtId="169" fontId="3" fillId="7" borderId="10" xfId="2" applyNumberFormat="1" applyFill="1" applyBorder="1" applyAlignment="1">
      <alignment wrapText="1"/>
    </xf>
    <xf numFmtId="169" fontId="3" fillId="7" borderId="81" xfId="2" applyNumberFormat="1" applyFont="1" applyFill="1" applyBorder="1" applyAlignment="1">
      <alignment wrapText="1"/>
    </xf>
    <xf numFmtId="169" fontId="3" fillId="7" borderId="12" xfId="2" applyNumberFormat="1" applyFill="1" applyBorder="1" applyAlignment="1">
      <alignment wrapText="1"/>
    </xf>
    <xf numFmtId="169" fontId="3" fillId="7" borderId="13" xfId="2" applyNumberFormat="1" applyFill="1" applyBorder="1" applyAlignment="1">
      <alignment wrapText="1"/>
    </xf>
    <xf numFmtId="169" fontId="3" fillId="7" borderId="40" xfId="2" applyNumberFormat="1" applyFont="1" applyFill="1" applyBorder="1" applyAlignment="1">
      <alignment wrapText="1"/>
    </xf>
    <xf numFmtId="169" fontId="3" fillId="7" borderId="22" xfId="2" applyNumberFormat="1" applyFill="1" applyBorder="1" applyAlignment="1">
      <alignment wrapText="1"/>
    </xf>
    <xf numFmtId="0" fontId="3" fillId="7" borderId="46" xfId="2" applyFill="1" applyBorder="1" applyAlignment="1">
      <alignment wrapText="1"/>
    </xf>
    <xf numFmtId="0" fontId="3" fillId="7" borderId="27" xfId="2" applyFill="1" applyBorder="1" applyAlignment="1">
      <alignment wrapText="1"/>
    </xf>
    <xf numFmtId="1" fontId="3" fillId="7" borderId="40" xfId="2" applyNumberFormat="1" applyFont="1" applyFill="1" applyBorder="1" applyAlignment="1">
      <alignment horizontal="center" wrapText="1"/>
    </xf>
    <xf numFmtId="0" fontId="3" fillId="7" borderId="101" xfId="2" applyFont="1" applyFill="1" applyBorder="1" applyAlignment="1">
      <alignment wrapText="1"/>
    </xf>
    <xf numFmtId="0" fontId="9" fillId="7" borderId="60" xfId="2" applyFont="1" applyFill="1" applyBorder="1" applyAlignment="1">
      <alignment horizontal="center" wrapText="1"/>
    </xf>
    <xf numFmtId="0" fontId="3" fillId="7" borderId="63" xfId="2" applyFont="1" applyFill="1" applyBorder="1" applyAlignment="1">
      <alignment wrapText="1"/>
    </xf>
    <xf numFmtId="0" fontId="3" fillId="7" borderId="101" xfId="2" applyFill="1" applyBorder="1" applyAlignment="1">
      <alignment wrapText="1"/>
    </xf>
    <xf numFmtId="6" fontId="3" fillId="7" borderId="62" xfId="2" applyNumberFormat="1" applyFont="1" applyFill="1" applyBorder="1" applyAlignment="1">
      <alignment horizontal="right" wrapText="1"/>
    </xf>
    <xf numFmtId="6" fontId="3" fillId="7" borderId="62" xfId="2" applyNumberFormat="1" applyFont="1" applyFill="1" applyBorder="1" applyAlignment="1">
      <alignment horizontal="center" wrapText="1"/>
    </xf>
    <xf numFmtId="1" fontId="3" fillId="7" borderId="62" xfId="2" applyNumberFormat="1" applyFont="1" applyFill="1" applyBorder="1" applyAlignment="1">
      <alignment horizontal="center" wrapText="1"/>
    </xf>
    <xf numFmtId="0" fontId="3" fillId="7" borderId="92" xfId="2" applyFont="1" applyFill="1" applyBorder="1" applyAlignment="1">
      <alignment wrapText="1"/>
    </xf>
    <xf numFmtId="0" fontId="3" fillId="7" borderId="100" xfId="2" applyFont="1" applyFill="1" applyBorder="1" applyAlignment="1">
      <alignment wrapText="1"/>
    </xf>
    <xf numFmtId="6" fontId="3" fillId="7" borderId="79" xfId="2" applyNumberFormat="1" applyFont="1" applyFill="1" applyBorder="1" applyAlignment="1">
      <alignment horizontal="right" wrapText="1"/>
    </xf>
    <xf numFmtId="6" fontId="3" fillId="7" borderId="79" xfId="2" applyNumberFormat="1" applyFont="1" applyFill="1" applyBorder="1" applyAlignment="1">
      <alignment horizontal="center" wrapText="1"/>
    </xf>
    <xf numFmtId="1" fontId="3" fillId="7" borderId="79" xfId="2" applyNumberFormat="1" applyFont="1" applyFill="1" applyBorder="1" applyAlignment="1">
      <alignment horizontal="center" wrapText="1"/>
    </xf>
    <xf numFmtId="169" fontId="3" fillId="7" borderId="24" xfId="2" applyNumberFormat="1" applyFill="1" applyBorder="1" applyAlignment="1">
      <alignment wrapText="1"/>
    </xf>
    <xf numFmtId="0" fontId="3" fillId="7" borderId="62" xfId="2" applyFill="1" applyBorder="1" applyAlignment="1">
      <alignment wrapText="1"/>
    </xf>
    <xf numFmtId="1" fontId="3" fillId="7" borderId="62" xfId="2" applyNumberFormat="1" applyFill="1" applyBorder="1" applyAlignment="1">
      <alignment horizontal="center" wrapText="1"/>
    </xf>
    <xf numFmtId="169" fontId="9" fillId="7" borderId="14" xfId="2" applyNumberFormat="1" applyFon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2" xfId="0" applyFont="1" applyFill="1" applyBorder="1" applyAlignment="1">
      <alignment horizontal="center"/>
    </xf>
    <xf numFmtId="0" fontId="18" fillId="2" borderId="32"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3" borderId="29" xfId="2" applyFont="1" applyFill="1" applyBorder="1" applyAlignment="1">
      <alignment horizontal="center" vertical="center" wrapText="1"/>
    </xf>
    <xf numFmtId="0" fontId="29" fillId="13" borderId="56" xfId="2" applyFont="1" applyFill="1" applyBorder="1" applyAlignment="1">
      <alignment horizontal="center" vertical="center"/>
    </xf>
    <xf numFmtId="0" fontId="29" fillId="13" borderId="56" xfId="2" applyFont="1" applyFill="1" applyBorder="1" applyAlignment="1">
      <alignment horizontal="center" vertical="center" wrapText="1"/>
    </xf>
    <xf numFmtId="0" fontId="3" fillId="0" borderId="56" xfId="2" applyBorder="1" applyAlignment="1">
      <alignment horizontal="center" vertical="center"/>
    </xf>
    <xf numFmtId="171" fontId="0" fillId="4" borderId="56" xfId="6" applyNumberFormat="1" applyFont="1" applyFill="1" applyBorder="1"/>
    <xf numFmtId="39" fontId="3" fillId="14" borderId="56" xfId="6" applyNumberFormat="1" applyFill="1" applyBorder="1" applyAlignment="1">
      <alignment horizontal="center" wrapText="1"/>
    </xf>
    <xf numFmtId="0" fontId="3" fillId="8" borderId="0" xfId="2" applyFill="1" applyAlignment="1">
      <alignment vertical="center"/>
    </xf>
    <xf numFmtId="0" fontId="3" fillId="0" borderId="56" xfId="2" applyBorder="1"/>
    <xf numFmtId="2" fontId="3" fillId="8" borderId="56" xfId="2" applyNumberFormat="1" applyFill="1" applyBorder="1" applyAlignment="1">
      <alignment horizontal="right"/>
    </xf>
    <xf numFmtId="39" fontId="2" fillId="14" borderId="56" xfId="6" applyNumberFormat="1" applyFont="1" applyFill="1" applyBorder="1" applyAlignment="1">
      <alignment horizontal="center" wrapText="1"/>
    </xf>
    <xf numFmtId="0" fontId="2" fillId="4" borderId="0" xfId="0" applyFont="1" applyFill="1"/>
    <xf numFmtId="0" fontId="0" fillId="4" borderId="0" xfId="0" applyFill="1"/>
    <xf numFmtId="39" fontId="2" fillId="7" borderId="56"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4" xfId="2" applyBorder="1" applyAlignment="1">
      <alignment horizontal="center" vertical="center"/>
    </xf>
    <xf numFmtId="171" fontId="0" fillId="0" borderId="66" xfId="6" applyNumberFormat="1" applyFont="1" applyBorder="1"/>
    <xf numFmtId="171" fontId="0" fillId="0" borderId="0" xfId="6" applyNumberFormat="1" applyFont="1"/>
    <xf numFmtId="171" fontId="0" fillId="0" borderId="103" xfId="6" applyNumberFormat="1" applyFont="1" applyBorder="1"/>
    <xf numFmtId="39" fontId="2" fillId="0" borderId="65"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3" borderId="3" xfId="2" applyFont="1" applyFill="1" applyBorder="1" applyAlignment="1">
      <alignment horizontal="center" vertical="center" wrapText="1"/>
    </xf>
    <xf numFmtId="9" fontId="0" fillId="7" borderId="56" xfId="7" applyNumberFormat="1" applyFont="1" applyFill="1" applyBorder="1"/>
    <xf numFmtId="0" fontId="30" fillId="13" borderId="29" xfId="2" applyFont="1" applyFill="1" applyBorder="1" applyAlignment="1">
      <alignment horizontal="center" vertical="center"/>
    </xf>
    <xf numFmtId="172" fontId="3" fillId="8" borderId="56"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3" borderId="29" xfId="2" applyFont="1" applyFill="1" applyBorder="1" applyAlignment="1">
      <alignment horizontal="center"/>
    </xf>
    <xf numFmtId="0" fontId="30" fillId="13" borderId="29" xfId="2" applyFont="1" applyFill="1" applyBorder="1" applyAlignment="1">
      <alignment horizontal="center" wrapText="1"/>
    </xf>
    <xf numFmtId="0" fontId="30" fillId="13" borderId="56" xfId="2" applyFont="1" applyFill="1" applyBorder="1" applyAlignment="1">
      <alignment horizontal="center" wrapText="1"/>
    </xf>
    <xf numFmtId="1" fontId="30" fillId="13" borderId="56" xfId="2" applyNumberFormat="1" applyFont="1" applyFill="1" applyBorder="1" applyAlignment="1">
      <alignment horizontal="center" wrapText="1"/>
    </xf>
    <xf numFmtId="0" fontId="30" fillId="13" borderId="65" xfId="2" applyFont="1" applyFill="1" applyBorder="1" applyAlignment="1">
      <alignment horizontal="center" wrapText="1"/>
    </xf>
    <xf numFmtId="43" fontId="3" fillId="5" borderId="56" xfId="2" applyNumberFormat="1" applyFill="1" applyBorder="1"/>
    <xf numFmtId="173" fontId="3" fillId="5" borderId="56" xfId="2" applyNumberFormat="1" applyFill="1" applyBorder="1"/>
    <xf numFmtId="174" fontId="3" fillId="5" borderId="56" xfId="2" applyNumberFormat="1" applyFill="1" applyBorder="1"/>
    <xf numFmtId="173" fontId="3" fillId="0" borderId="56" xfId="2" applyNumberFormat="1" applyBorder="1"/>
    <xf numFmtId="173" fontId="3" fillId="0" borderId="2" xfId="2" applyNumberFormat="1" applyBorder="1"/>
    <xf numFmtId="0" fontId="0" fillId="4" borderId="56" xfId="0" applyFill="1" applyBorder="1"/>
    <xf numFmtId="0" fontId="3" fillId="8" borderId="56" xfId="2" applyFill="1" applyBorder="1"/>
    <xf numFmtId="0" fontId="3" fillId="5" borderId="56" xfId="2" applyFill="1" applyBorder="1"/>
    <xf numFmtId="39" fontId="3" fillId="11" borderId="60" xfId="2" applyNumberFormat="1" applyFont="1" applyFill="1" applyBorder="1" applyAlignment="1">
      <alignment horizontal="center" wrapText="1"/>
    </xf>
    <xf numFmtId="169" fontId="9" fillId="7" borderId="74" xfId="2" applyNumberFormat="1" applyFont="1" applyFill="1" applyBorder="1" applyAlignment="1">
      <alignment wrapText="1"/>
    </xf>
    <xf numFmtId="169" fontId="9" fillId="7" borderId="21"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7" xfId="0" applyNumberFormat="1" applyFont="1" applyFill="1" applyBorder="1" applyAlignment="1">
      <alignment horizontal="center" vertical="center" wrapText="1"/>
    </xf>
    <xf numFmtId="1" fontId="5" fillId="6" borderId="7" xfId="0" applyNumberFormat="1" applyFont="1" applyFill="1" applyBorder="1"/>
    <xf numFmtId="40" fontId="5" fillId="5" borderId="6" xfId="0" applyNumberFormat="1" applyFont="1" applyFill="1" applyBorder="1"/>
    <xf numFmtId="43" fontId="0" fillId="5" borderId="56"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0" fontId="15" fillId="5" borderId="0" xfId="0" applyFont="1" applyFill="1" applyAlignment="1">
      <alignment wrapText="1"/>
    </xf>
    <xf numFmtId="170" fontId="15" fillId="0" borderId="0" xfId="0" applyNumberFormat="1" applyFont="1"/>
    <xf numFmtId="0" fontId="3" fillId="12" borderId="56" xfId="2" applyFill="1" applyBorder="1"/>
    <xf numFmtId="0" fontId="0" fillId="4" borderId="56" xfId="0" applyFill="1" applyBorder="1" applyAlignment="1">
      <alignment horizontal="center"/>
    </xf>
    <xf numFmtId="0" fontId="3" fillId="0" borderId="0" xfId="2"/>
    <xf numFmtId="0" fontId="3" fillId="9" borderId="0" xfId="2" applyFill="1"/>
    <xf numFmtId="171" fontId="2" fillId="9" borderId="56" xfId="2" applyNumberFormat="1" applyFont="1" applyFill="1" applyBorder="1" applyAlignment="1">
      <alignment horizontal="center" vertic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61"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6"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6" xfId="2" applyFont="1" applyBorder="1" applyAlignment="1">
      <alignment wrapText="1"/>
    </xf>
    <xf numFmtId="43" fontId="3" fillId="0" borderId="56" xfId="3" applyFont="1" applyBorder="1" applyAlignment="1">
      <alignment wrapText="1"/>
    </xf>
    <xf numFmtId="0" fontId="3" fillId="12" borderId="56" xfId="2" applyFont="1" applyFill="1" applyBorder="1" applyAlignment="1">
      <alignment wrapText="1"/>
    </xf>
    <xf numFmtId="0" fontId="3" fillId="11" borderId="56" xfId="2" applyFont="1" applyFill="1" applyBorder="1" applyAlignment="1">
      <alignment wrapText="1"/>
    </xf>
    <xf numFmtId="0" fontId="3" fillId="0" borderId="56" xfId="2" applyFont="1" applyBorder="1"/>
    <xf numFmtId="0" fontId="3" fillId="12" borderId="56" xfId="2" applyFont="1" applyFill="1" applyBorder="1"/>
    <xf numFmtId="43" fontId="3" fillId="0" borderId="56" xfId="2" applyNumberFormat="1" applyFont="1" applyBorder="1" applyAlignment="1">
      <alignment wrapText="1"/>
    </xf>
    <xf numFmtId="43" fontId="3" fillId="0" borderId="56" xfId="86" applyFont="1" applyBorder="1" applyAlignment="1">
      <alignment wrapText="1"/>
    </xf>
    <xf numFmtId="0" fontId="0" fillId="0" borderId="0" xfId="0" applyFont="1" applyBorder="1" applyAlignment="1"/>
    <xf numFmtId="0" fontId="0" fillId="0" borderId="56" xfId="0" applyFill="1" applyBorder="1"/>
    <xf numFmtId="0" fontId="0" fillId="0" borderId="0" xfId="0" applyFill="1"/>
    <xf numFmtId="3" fontId="2" fillId="7" borderId="56" xfId="2" applyNumberFormat="1" applyFont="1" applyFill="1" applyBorder="1" applyAlignment="1">
      <alignment horizontal="right" vertical="center"/>
    </xf>
    <xf numFmtId="0" fontId="17" fillId="4" borderId="32" xfId="0" applyFont="1" applyFill="1" applyBorder="1" applyAlignment="1">
      <alignment horizontal="center" vertical="center" wrapText="1"/>
    </xf>
    <xf numFmtId="0" fontId="17" fillId="4" borderId="32" xfId="0" applyFont="1" applyFill="1" applyBorder="1"/>
    <xf numFmtId="4" fontId="0" fillId="7" borderId="56"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6"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1" xfId="0" applyFont="1" applyFill="1" applyBorder="1" applyAlignment="1" applyProtection="1">
      <alignment horizontal="center" vertical="center"/>
      <protection locked="0"/>
    </xf>
    <xf numFmtId="0" fontId="0" fillId="8" borderId="56" xfId="0" applyFill="1" applyBorder="1"/>
    <xf numFmtId="0" fontId="2" fillId="7" borderId="31"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3"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1" fillId="8" borderId="38"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166" fontId="1" fillId="8" borderId="34" xfId="0" applyNumberFormat="1"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166" fontId="1" fillId="8" borderId="42"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8"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8" xfId="0" applyFont="1" applyFill="1" applyBorder="1" applyAlignment="1">
      <alignment horizontal="center" vertical="center"/>
    </xf>
    <xf numFmtId="1" fontId="2" fillId="7" borderId="31" xfId="0" applyNumberFormat="1" applyFont="1" applyFill="1" applyBorder="1"/>
    <xf numFmtId="0" fontId="17" fillId="4" borderId="1"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 fillId="6" borderId="27" xfId="0" applyFont="1" applyFill="1" applyBorder="1" applyAlignment="1">
      <alignment horizontal="center" vertical="center"/>
    </xf>
    <xf numFmtId="0" fontId="0" fillId="0" borderId="56" xfId="0" applyNumberFormat="1" applyBorder="1"/>
    <xf numFmtId="173" fontId="3" fillId="0" borderId="0" xfId="2" applyNumberFormat="1" applyBorder="1"/>
    <xf numFmtId="0" fontId="15" fillId="0" borderId="0" xfId="0" applyFont="1" applyAlignment="1">
      <alignment horizontal="left"/>
    </xf>
    <xf numFmtId="0" fontId="15" fillId="0" borderId="0" xfId="0" applyFont="1" applyFill="1"/>
    <xf numFmtId="0" fontId="15" fillId="0" borderId="0" xfId="0" applyFont="1"/>
    <xf numFmtId="0" fontId="3" fillId="0" borderId="0" xfId="2"/>
    <xf numFmtId="0" fontId="3" fillId="11" borderId="18" xfId="2" applyFill="1" applyBorder="1" applyAlignment="1">
      <alignment horizontal="right" wrapText="1"/>
    </xf>
    <xf numFmtId="0" fontId="3" fillId="11" borderId="25" xfId="2" applyFill="1" applyBorder="1" applyAlignment="1">
      <alignment horizontal="right" wrapText="1"/>
    </xf>
    <xf numFmtId="1" fontId="3" fillId="11" borderId="31" xfId="2" applyNumberFormat="1" applyFill="1" applyBorder="1" applyAlignment="1">
      <alignment horizontal="center" wrapText="1"/>
    </xf>
    <xf numFmtId="0" fontId="3" fillId="11" borderId="31" xfId="2" applyFont="1" applyFill="1" applyBorder="1" applyAlignment="1">
      <alignment wrapText="1"/>
    </xf>
    <xf numFmtId="169" fontId="3" fillId="11" borderId="18" xfId="2" applyNumberFormat="1" applyFill="1" applyBorder="1" applyAlignment="1">
      <alignment wrapText="1"/>
    </xf>
    <xf numFmtId="169" fontId="3" fillId="11" borderId="15" xfId="2" applyNumberFormat="1" applyFill="1" applyBorder="1" applyAlignment="1">
      <alignment wrapText="1"/>
    </xf>
    <xf numFmtId="169" fontId="3" fillId="11" borderId="19" xfId="2" applyNumberFormat="1" applyFill="1" applyBorder="1" applyAlignment="1">
      <alignment wrapText="1"/>
    </xf>
    <xf numFmtId="169" fontId="3" fillId="11" borderId="21" xfId="2" applyNumberFormat="1" applyFill="1" applyBorder="1" applyAlignment="1">
      <alignment wrapText="1"/>
    </xf>
    <xf numFmtId="169" fontId="3" fillId="11" borderId="17" xfId="2" applyNumberFormat="1" applyFill="1" applyBorder="1" applyAlignment="1">
      <alignment wrapText="1"/>
    </xf>
    <xf numFmtId="169" fontId="3" fillId="11" borderId="16" xfId="2" applyNumberFormat="1" applyFont="1" applyFill="1" applyBorder="1" applyAlignment="1">
      <alignment wrapText="1"/>
    </xf>
    <xf numFmtId="0" fontId="9" fillId="7" borderId="99" xfId="2" applyFont="1" applyFill="1" applyBorder="1" applyAlignment="1">
      <alignment horizontal="center" wrapText="1"/>
    </xf>
    <xf numFmtId="0" fontId="9" fillId="7" borderId="40" xfId="2" applyFont="1" applyFill="1" applyBorder="1" applyAlignment="1">
      <alignment horizontal="center" wrapText="1"/>
    </xf>
    <xf numFmtId="0" fontId="9" fillId="7" borderId="48" xfId="2" applyFont="1" applyFill="1" applyBorder="1" applyAlignment="1">
      <alignment horizontal="center" wrapText="1"/>
    </xf>
    <xf numFmtId="0" fontId="9" fillId="7" borderId="43" xfId="2" applyFont="1" applyFill="1" applyBorder="1" applyAlignment="1">
      <alignment horizontal="center" wrapText="1"/>
    </xf>
    <xf numFmtId="0" fontId="9" fillId="7" borderId="14" xfId="2" applyFont="1" applyFill="1" applyBorder="1" applyAlignment="1">
      <alignment horizontal="center" wrapText="1"/>
    </xf>
    <xf numFmtId="0" fontId="9" fillId="7" borderId="15" xfId="2" applyFont="1" applyFill="1" applyBorder="1" applyAlignment="1">
      <alignment horizontal="center" wrapText="1"/>
    </xf>
    <xf numFmtId="0" fontId="3" fillId="7" borderId="21" xfId="2" applyFill="1" applyBorder="1" applyAlignment="1">
      <alignment horizontal="center" wrapText="1"/>
    </xf>
    <xf numFmtId="0" fontId="9" fillId="11" borderId="99" xfId="2" applyFont="1" applyFill="1" applyBorder="1" applyAlignment="1">
      <alignment horizontal="center" wrapText="1"/>
    </xf>
    <xf numFmtId="0" fontId="9" fillId="11" borderId="39" xfId="2" applyFont="1" applyFill="1" applyBorder="1" applyAlignment="1">
      <alignment horizontal="center" wrapText="1"/>
    </xf>
    <xf numFmtId="0" fontId="9" fillId="11" borderId="68" xfId="2" applyFont="1" applyFill="1" applyBorder="1" applyAlignment="1">
      <alignment horizontal="center" wrapText="1"/>
    </xf>
    <xf numFmtId="0" fontId="9" fillId="11" borderId="69" xfId="2" applyFont="1" applyFill="1" applyBorder="1" applyAlignment="1">
      <alignment horizontal="center" wrapText="1"/>
    </xf>
    <xf numFmtId="0" fontId="9" fillId="11" borderId="70" xfId="2" applyFont="1" applyFill="1" applyBorder="1" applyAlignment="1">
      <alignment horizontal="center" wrapText="1"/>
    </xf>
    <xf numFmtId="0" fontId="9" fillId="7" borderId="38" xfId="2" applyFont="1" applyFill="1" applyBorder="1" applyAlignment="1">
      <alignment horizontal="center" wrapText="1"/>
    </xf>
    <xf numFmtId="0" fontId="9" fillId="7" borderId="52" xfId="2" applyFont="1" applyFill="1" applyBorder="1" applyAlignment="1">
      <alignment horizontal="center" wrapText="1"/>
    </xf>
    <xf numFmtId="0" fontId="9" fillId="7" borderId="26" xfId="2" applyFont="1" applyFill="1" applyBorder="1" applyAlignment="1">
      <alignment horizontal="center" wrapText="1"/>
    </xf>
    <xf numFmtId="0" fontId="9" fillId="0" borderId="35" xfId="2" applyFont="1" applyBorder="1" applyAlignment="1">
      <alignment horizontal="center" wrapText="1"/>
    </xf>
    <xf numFmtId="0" fontId="9" fillId="0" borderId="37" xfId="2" applyFont="1" applyBorder="1" applyAlignment="1">
      <alignment horizontal="center" wrapText="1"/>
    </xf>
    <xf numFmtId="0" fontId="9" fillId="0" borderId="38" xfId="2" applyFont="1" applyBorder="1" applyAlignment="1">
      <alignment horizontal="center" wrapText="1"/>
    </xf>
    <xf numFmtId="0" fontId="9" fillId="0" borderId="26" xfId="2" applyFont="1" applyBorder="1" applyAlignment="1">
      <alignment horizontal="center" wrapText="1"/>
    </xf>
    <xf numFmtId="0" fontId="9" fillId="0" borderId="51" xfId="2" applyFont="1" applyBorder="1" applyAlignment="1">
      <alignment horizontal="center" wrapText="1"/>
    </xf>
    <xf numFmtId="0" fontId="9" fillId="0" borderId="27" xfId="2" applyFont="1" applyBorder="1" applyAlignment="1">
      <alignment horizontal="center" wrapText="1"/>
    </xf>
    <xf numFmtId="0" fontId="9" fillId="0" borderId="18" xfId="2" applyFont="1" applyBorder="1" applyAlignment="1">
      <alignment horizontal="center"/>
    </xf>
    <xf numFmtId="0" fontId="9" fillId="0" borderId="25" xfId="2" applyFont="1" applyBorder="1" applyAlignment="1">
      <alignment horizontal="center"/>
    </xf>
    <xf numFmtId="0" fontId="9" fillId="0" borderId="16" xfId="2" applyFont="1" applyBorder="1" applyAlignment="1">
      <alignment horizontal="center"/>
    </xf>
    <xf numFmtId="0" fontId="9" fillId="5" borderId="48" xfId="2" applyFont="1" applyFill="1" applyBorder="1" applyAlignment="1">
      <alignment horizontal="center" wrapText="1"/>
    </xf>
    <xf numFmtId="0" fontId="9" fillId="5" borderId="43" xfId="2" applyFont="1" applyFill="1" applyBorder="1" applyAlignment="1">
      <alignment horizontal="center" wrapText="1"/>
    </xf>
    <xf numFmtId="0" fontId="9" fillId="5" borderId="68" xfId="2" applyFont="1" applyFill="1" applyBorder="1" applyAlignment="1">
      <alignment horizontal="center" wrapText="1"/>
    </xf>
    <xf numFmtId="0" fontId="3" fillId="5" borderId="69" xfId="2" applyFill="1" applyBorder="1" applyAlignment="1">
      <alignment horizontal="center" wrapText="1"/>
    </xf>
    <xf numFmtId="0" fontId="3" fillId="5" borderId="70" xfId="2" applyFill="1" applyBorder="1" applyAlignment="1">
      <alignment horizontal="center" wrapText="1"/>
    </xf>
    <xf numFmtId="0" fontId="9" fillId="10" borderId="76" xfId="2" applyFont="1" applyFill="1" applyBorder="1" applyAlignment="1">
      <alignment horizontal="center" wrapText="1"/>
    </xf>
    <xf numFmtId="0" fontId="9" fillId="10" borderId="77" xfId="2" applyFont="1" applyFill="1" applyBorder="1" applyAlignment="1">
      <alignment horizontal="center" wrapText="1"/>
    </xf>
    <xf numFmtId="0" fontId="9" fillId="10" borderId="68" xfId="2" applyFont="1" applyFill="1" applyBorder="1" applyAlignment="1">
      <alignment horizontal="center" wrapText="1"/>
    </xf>
    <xf numFmtId="0" fontId="9" fillId="10" borderId="69" xfId="2" applyFont="1" applyFill="1" applyBorder="1" applyAlignment="1">
      <alignment horizontal="center" wrapText="1"/>
    </xf>
    <xf numFmtId="0" fontId="9" fillId="10" borderId="70" xfId="2" applyFont="1" applyFill="1" applyBorder="1" applyAlignment="1">
      <alignment horizontal="center" wrapText="1"/>
    </xf>
    <xf numFmtId="0" fontId="9" fillId="7" borderId="76" xfId="2" applyFont="1" applyFill="1" applyBorder="1" applyAlignment="1">
      <alignment horizontal="center" wrapText="1"/>
    </xf>
    <xf numFmtId="0" fontId="9" fillId="7" borderId="77" xfId="2" applyFont="1" applyFill="1" applyBorder="1" applyAlignment="1">
      <alignment horizontal="center" wrapText="1"/>
    </xf>
    <xf numFmtId="0" fontId="9" fillId="7" borderId="68" xfId="2" applyFont="1" applyFill="1" applyBorder="1" applyAlignment="1">
      <alignment horizontal="center" wrapText="1"/>
    </xf>
    <xf numFmtId="0" fontId="3" fillId="7" borderId="69" xfId="2" applyFill="1" applyBorder="1" applyAlignment="1">
      <alignment horizontal="center" wrapText="1"/>
    </xf>
    <xf numFmtId="0" fontId="9" fillId="11" borderId="96" xfId="2" applyFont="1" applyFill="1" applyBorder="1" applyAlignment="1">
      <alignment horizontal="center" wrapText="1"/>
    </xf>
    <xf numFmtId="0" fontId="9" fillId="11" borderId="97" xfId="2" applyFont="1" applyFill="1" applyBorder="1" applyAlignment="1">
      <alignment horizontal="center" wrapText="1"/>
    </xf>
    <xf numFmtId="0" fontId="9" fillId="11" borderId="52" xfId="2" applyFont="1" applyFill="1" applyBorder="1" applyAlignment="1">
      <alignment horizontal="center" wrapText="1"/>
    </xf>
    <xf numFmtId="0" fontId="9" fillId="11" borderId="98" xfId="2" applyFont="1" applyFill="1" applyBorder="1" applyAlignment="1">
      <alignment horizontal="center" wrapText="1"/>
    </xf>
    <xf numFmtId="165" fontId="2" fillId="0" borderId="18" xfId="0" applyNumberFormat="1" applyFont="1" applyFill="1" applyBorder="1" applyAlignment="1">
      <alignment horizontal="center" vertical="center" wrapText="1"/>
    </xf>
    <xf numFmtId="165" fontId="2" fillId="0" borderId="16" xfId="0" applyNumberFormat="1" applyFont="1" applyFill="1" applyBorder="1" applyAlignment="1">
      <alignment horizontal="center" vertical="center" wrapText="1"/>
    </xf>
    <xf numFmtId="165" fontId="2" fillId="7" borderId="18" xfId="0" applyNumberFormat="1" applyFont="1" applyFill="1" applyBorder="1" applyAlignment="1">
      <alignment horizontal="center" vertical="center" wrapText="1"/>
    </xf>
    <xf numFmtId="165" fontId="2" fillId="7" borderId="25" xfId="0" applyNumberFormat="1" applyFont="1" applyFill="1" applyBorder="1" applyAlignment="1">
      <alignment horizontal="center" vertical="center" wrapText="1"/>
    </xf>
    <xf numFmtId="165" fontId="2" fillId="7" borderId="16" xfId="0" applyNumberFormat="1" applyFont="1" applyFill="1" applyBorder="1" applyAlignment="1">
      <alignment horizontal="center" vertical="center" wrapText="1"/>
    </xf>
    <xf numFmtId="0" fontId="6" fillId="3" borderId="48" xfId="0" applyFont="1" applyFill="1" applyBorder="1" applyAlignment="1">
      <alignment horizontal="center" vertical="center" wrapText="1"/>
    </xf>
    <xf numFmtId="0" fontId="0" fillId="0" borderId="49" xfId="0" applyBorder="1" applyAlignment="1">
      <alignment horizontal="center" vertical="center" wrapText="1"/>
    </xf>
    <xf numFmtId="0" fontId="6" fillId="3" borderId="48" xfId="0" applyFont="1" applyFill="1" applyBorder="1" applyAlignment="1">
      <alignment horizontal="center" vertical="center"/>
    </xf>
    <xf numFmtId="0" fontId="6" fillId="3" borderId="43" xfId="0" applyFont="1" applyFill="1" applyBorder="1" applyAlignment="1">
      <alignment horizontal="center" vertical="center"/>
    </xf>
    <xf numFmtId="0" fontId="12" fillId="3" borderId="48" xfId="0" applyFont="1" applyFill="1" applyBorder="1" applyAlignment="1">
      <alignment horizontal="center" vertical="center" wrapText="1"/>
    </xf>
    <xf numFmtId="0" fontId="12" fillId="3" borderId="43" xfId="0" applyFont="1" applyFill="1" applyBorder="1" applyAlignment="1">
      <alignment horizontal="center" vertical="center"/>
    </xf>
    <xf numFmtId="0" fontId="6" fillId="0" borderId="18" xfId="0" applyFont="1" applyBorder="1" applyAlignment="1">
      <alignment horizontal="center" vertical="center"/>
    </xf>
    <xf numFmtId="0" fontId="6" fillId="0" borderId="2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3" borderId="49"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8" xfId="0" applyFont="1" applyFill="1" applyBorder="1" applyAlignment="1" applyProtection="1">
      <alignment horizontal="center" vertical="center"/>
      <protection locked="0"/>
    </xf>
    <xf numFmtId="0" fontId="0" fillId="0" borderId="25" xfId="0" applyBorder="1" applyAlignment="1">
      <alignment horizontal="center" vertical="center"/>
    </xf>
    <xf numFmtId="0" fontId="1" fillId="3" borderId="18" xfId="0" applyFont="1" applyFill="1" applyBorder="1" applyAlignment="1">
      <alignment horizontal="center" vertical="center"/>
    </xf>
    <xf numFmtId="10" fontId="6" fillId="3" borderId="18" xfId="0" applyNumberFormat="1" applyFont="1" applyFill="1" applyBorder="1" applyAlignment="1" applyProtection="1">
      <alignment horizontal="center" vertical="center"/>
      <protection locked="0"/>
    </xf>
    <xf numFmtId="10" fontId="6" fillId="3" borderId="25" xfId="0" applyNumberFormat="1" applyFont="1" applyFill="1" applyBorder="1" applyAlignment="1" applyProtection="1">
      <alignment horizontal="center" vertical="center"/>
      <protection locked="0"/>
    </xf>
    <xf numFmtId="10" fontId="6" fillId="3" borderId="16" xfId="0" applyNumberFormat="1" applyFont="1" applyFill="1" applyBorder="1" applyAlignment="1" applyProtection="1">
      <alignment horizontal="center" vertical="center"/>
      <protection locked="0"/>
    </xf>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27" fillId="0" borderId="52" xfId="0" applyFont="1" applyBorder="1" applyAlignment="1">
      <alignment horizontal="center"/>
    </xf>
    <xf numFmtId="0" fontId="28" fillId="0" borderId="52" xfId="0" applyFont="1" applyBorder="1" applyAlignment="1">
      <alignment horizontal="center"/>
    </xf>
    <xf numFmtId="165" fontId="18" fillId="2" borderId="51" xfId="0" applyNumberFormat="1" applyFont="1" applyFill="1" applyBorder="1" applyAlignment="1">
      <alignment horizontal="center" vertical="center" wrapText="1"/>
    </xf>
    <xf numFmtId="165" fontId="18" fillId="2" borderId="27" xfId="0" applyNumberFormat="1" applyFont="1" applyFill="1" applyBorder="1" applyAlignment="1">
      <alignment horizontal="center" vertical="center" wrapText="1"/>
    </xf>
    <xf numFmtId="0" fontId="18" fillId="2" borderId="51" xfId="0" applyFont="1" applyFill="1" applyBorder="1" applyAlignment="1">
      <alignment horizontal="center" vertical="center" wrapText="1"/>
    </xf>
    <xf numFmtId="0" fontId="18" fillId="2" borderId="2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2" xfId="0" applyFont="1" applyBorder="1" applyAlignment="1">
      <alignment horizontal="center"/>
    </xf>
    <xf numFmtId="0" fontId="0" fillId="0" borderId="52" xfId="0" applyBorder="1" applyAlignment="1">
      <alignment horizontal="center"/>
    </xf>
    <xf numFmtId="0" fontId="30" fillId="13" borderId="22" xfId="2" applyFont="1" applyFill="1" applyBorder="1" applyAlignment="1">
      <alignment horizontal="center" vertical="center" wrapText="1"/>
    </xf>
    <xf numFmtId="0" fontId="3" fillId="0" borderId="0" xfId="2"/>
    <xf numFmtId="0" fontId="32" fillId="13"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6" xfId="0" applyBorder="1" applyAlignment="1">
      <alignment horizontal="center" vertical="center"/>
    </xf>
    <xf numFmtId="0" fontId="6" fillId="2" borderId="18" xfId="0" applyFont="1" applyFill="1" applyBorder="1" applyAlignment="1">
      <alignment horizontal="center" vertical="center"/>
    </xf>
    <xf numFmtId="0" fontId="6" fillId="2" borderId="1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0" fillId="0" borderId="43" xfId="0" applyBorder="1" applyAlignment="1">
      <alignment horizontal="center" vertic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52" xfId="0" applyFont="1" applyBorder="1" applyAlignment="1">
      <alignment horizontal="center" vertical="center"/>
    </xf>
    <xf numFmtId="0" fontId="15" fillId="0" borderId="26" xfId="0" applyFont="1" applyBorder="1" applyAlignment="1">
      <alignment horizontal="center" vertical="center"/>
    </xf>
    <xf numFmtId="0" fontId="6" fillId="2" borderId="18" xfId="0" applyFont="1" applyFill="1" applyBorder="1" applyAlignment="1">
      <alignment horizontal="center"/>
    </xf>
    <xf numFmtId="0" fontId="6" fillId="2" borderId="25" xfId="0" applyFont="1" applyFill="1" applyBorder="1" applyAlignment="1">
      <alignment horizontal="center"/>
    </xf>
    <xf numFmtId="0" fontId="6" fillId="2" borderId="16" xfId="0" applyFont="1" applyFill="1" applyBorder="1" applyAlignment="1">
      <alignment horizontal="center"/>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38" xfId="0" applyFont="1" applyFill="1" applyBorder="1" applyAlignment="1">
      <alignment horizontal="center" vertical="center"/>
    </xf>
    <xf numFmtId="0" fontId="6" fillId="2" borderId="26"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0" xfId="0" applyFont="1" applyFill="1" applyAlignment="1">
      <alignment horizontal="center" vertical="center"/>
    </xf>
    <xf numFmtId="0" fontId="1" fillId="2" borderId="45"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6" fillId="2" borderId="18" xfId="0" applyFont="1" applyFill="1" applyBorder="1" applyAlignment="1">
      <alignment horizontal="center" wrapText="1"/>
    </xf>
    <xf numFmtId="0" fontId="2" fillId="0" borderId="0" xfId="0" applyFont="1" applyAlignment="1">
      <alignment horizontal="left"/>
    </xf>
  </cellXfs>
  <cellStyles count="87">
    <cellStyle name="Comma 2" xfId="3"/>
    <cellStyle name="Comma 2 2" xfId="6"/>
    <cellStyle name="Comma 3" xfId="8"/>
    <cellStyle name="Comma 3 2" xfId="9"/>
    <cellStyle name="Comma 4" xfId="10"/>
    <cellStyle name="Comma 4 2" xfId="86"/>
    <cellStyle name="Comma 5" xfId="11"/>
    <cellStyle name="Comma 6" xfId="12"/>
    <cellStyle name="Comma 7" xfId="13"/>
    <cellStyle name="Currency 2" xfId="4"/>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1">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PROJECTION'!$H$56:$W$56</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82239232"/>
        <c:axId val="170080448"/>
      </c:lineChart>
      <c:catAx>
        <c:axId val="182239232"/>
        <c:scaling>
          <c:orientation val="minMax"/>
        </c:scaling>
        <c:delete val="0"/>
        <c:axPos val="b"/>
        <c:majorGridlines/>
        <c:majorTickMark val="out"/>
        <c:minorTickMark val="none"/>
        <c:tickLblPos val="nextTo"/>
        <c:crossAx val="170080448"/>
        <c:crosses val="autoZero"/>
        <c:auto val="1"/>
        <c:lblAlgn val="ctr"/>
        <c:lblOffset val="100"/>
        <c:noMultiLvlLbl val="0"/>
      </c:catAx>
      <c:valAx>
        <c:axId val="170080448"/>
        <c:scaling>
          <c:orientation val="minMax"/>
          <c:max val="1000000000"/>
          <c:min val="1"/>
        </c:scaling>
        <c:delete val="0"/>
        <c:axPos val="l"/>
        <c:majorGridlines/>
        <c:numFmt formatCode="&quot;$&quot;#,##0" sourceLinked="0"/>
        <c:majorTickMark val="out"/>
        <c:minorTickMark val="none"/>
        <c:tickLblPos val="nextTo"/>
        <c:crossAx val="182239232"/>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81991424"/>
        <c:axId val="170966336"/>
      </c:lineChart>
      <c:catAx>
        <c:axId val="18199142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70966336"/>
        <c:crossesAt val="0"/>
        <c:auto val="1"/>
        <c:lblAlgn val="ctr"/>
        <c:lblOffset val="100"/>
        <c:noMultiLvlLbl val="1"/>
      </c:catAx>
      <c:valAx>
        <c:axId val="17096633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81991424"/>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85150976"/>
        <c:axId val="185099968"/>
      </c:lineChart>
      <c:catAx>
        <c:axId val="18515097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5099968"/>
        <c:crosses val="autoZero"/>
        <c:auto val="1"/>
        <c:lblAlgn val="ctr"/>
        <c:lblOffset val="100"/>
        <c:noMultiLvlLbl val="1"/>
      </c:catAx>
      <c:valAx>
        <c:axId val="185099968"/>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85150976"/>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numCache>
            </c:numRef>
          </c:val>
          <c:smooth val="0"/>
        </c:ser>
        <c:dLbls>
          <c:showLegendKey val="0"/>
          <c:showVal val="0"/>
          <c:showCatName val="0"/>
          <c:showSerName val="0"/>
          <c:showPercent val="0"/>
          <c:showBubbleSize val="0"/>
        </c:dLbls>
        <c:marker val="1"/>
        <c:smooth val="0"/>
        <c:axId val="188145664"/>
        <c:axId val="185102272"/>
      </c:lineChart>
      <c:catAx>
        <c:axId val="18814566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5102272"/>
        <c:crossesAt val="0"/>
        <c:auto val="1"/>
        <c:lblAlgn val="ctr"/>
        <c:lblOffset val="100"/>
        <c:noMultiLvlLbl val="0"/>
      </c:catAx>
      <c:valAx>
        <c:axId val="185102272"/>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88145664"/>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 1'!$B$11:$B$53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1'!$R$11:$R$53</c:f>
              <c:numCache>
                <c:formatCode>_(* #,##0.000_);_(* \(#,##0.000\);_(* "-"???_);_(@_)</c:formatCode>
                <c:ptCount val="43"/>
                <c:pt idx="0">
                  <c:v>1.5</c:v>
                </c:pt>
                <c:pt idx="1">
                  <c:v>4.2462999999999997</c:v>
                </c:pt>
                <c:pt idx="2">
                  <c:v>7.8176069999999989</c:v>
                </c:pt>
                <c:pt idx="3">
                  <c:v>12.041598221499999</c:v>
                </c:pt>
                <c:pt idx="4">
                  <c:v>12.468596595899999</c:v>
                </c:pt>
                <c:pt idx="5">
                  <c:v>12.912674905275999</c:v>
                </c:pt>
                <c:pt idx="6">
                  <c:v>13.37451634702704</c:v>
                </c:pt>
                <c:pt idx="7">
                  <c:v>13.854831446448122</c:v>
                </c:pt>
                <c:pt idx="8">
                  <c:v>14.354359149846047</c:v>
                </c:pt>
                <c:pt idx="9">
                  <c:v>14.87386796137989</c:v>
                </c:pt>
                <c:pt idx="10">
                  <c:v>15.414157125375086</c:v>
                </c:pt>
                <c:pt idx="11">
                  <c:v>15.976057855930089</c:v>
                </c:pt>
                <c:pt idx="12">
                  <c:v>16.560434615707294</c:v>
                </c:pt>
                <c:pt idx="13">
                  <c:v>17.168186445875588</c:v>
                </c:pt>
                <c:pt idx="14">
                  <c:v>17.800248349250612</c:v>
                </c:pt>
                <c:pt idx="15">
                  <c:v>18.457592728760638</c:v>
                </c:pt>
                <c:pt idx="16">
                  <c:v>19.141230883451062</c:v>
                </c:pt>
                <c:pt idx="17">
                  <c:v>19.852214564329106</c:v>
                </c:pt>
                <c:pt idx="18">
                  <c:v>20.591637592442272</c:v>
                </c:pt>
                <c:pt idx="19">
                  <c:v>21.360637541679964</c:v>
                </c:pt>
                <c:pt idx="20">
                  <c:v>22.160397488887163</c:v>
                </c:pt>
                <c:pt idx="21">
                  <c:v>22.992147833982649</c:v>
                </c:pt>
                <c:pt idx="22">
                  <c:v>23.857168192881957</c:v>
                </c:pt>
                <c:pt idx="23">
                  <c:v>24.756789366137237</c:v>
                </c:pt>
                <c:pt idx="24">
                  <c:v>25.692395386322726</c:v>
                </c:pt>
                <c:pt idx="25">
                  <c:v>26.665425647315637</c:v>
                </c:pt>
                <c:pt idx="26">
                  <c:v>27.677377118748261</c:v>
                </c:pt>
                <c:pt idx="27">
                  <c:v>28.729806649038192</c:v>
                </c:pt>
                <c:pt idx="28">
                  <c:v>29.824333360539722</c:v>
                </c:pt>
                <c:pt idx="29">
                  <c:v>30.962641140501312</c:v>
                </c:pt>
                <c:pt idx="30">
                  <c:v>32.146481231661362</c:v>
                </c:pt>
                <c:pt idx="31">
                  <c:v>33.377674926467819</c:v>
                </c:pt>
                <c:pt idx="32">
                  <c:v>34.658116369066533</c:v>
                </c:pt>
                <c:pt idx="33">
                  <c:v>35.989775469369192</c:v>
                </c:pt>
                <c:pt idx="34">
                  <c:v>37.374700933683961</c:v>
                </c:pt>
                <c:pt idx="35">
                  <c:v>38.815023416571321</c:v>
                </c:pt>
                <c:pt idx="36">
                  <c:v>40.312958798774176</c:v>
                </c:pt>
                <c:pt idx="37">
                  <c:v>41.870811596265142</c:v>
                </c:pt>
                <c:pt idx="38">
                  <c:v>43.490978505655747</c:v>
                </c:pt>
                <c:pt idx="39">
                  <c:v>45.175952091421976</c:v>
                </c:pt>
                <c:pt idx="40">
                  <c:v>46.928324620618859</c:v>
                </c:pt>
                <c:pt idx="41">
                  <c:v>48.750792050983613</c:v>
                </c:pt>
                <c:pt idx="42">
                  <c:v>50.646158178562956</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 1'!$X$11:$X$53</c:f>
              <c:numCache>
                <c:formatCode>_(* #,##0.000_);_(* \(#,##0.000\);_(* "-"???_);_(@_)</c:formatCode>
                <c:ptCount val="43"/>
                <c:pt idx="0">
                  <c:v>0</c:v>
                </c:pt>
                <c:pt idx="1">
                  <c:v>10.53</c:v>
                </c:pt>
                <c:pt idx="2">
                  <c:v>21.45</c:v>
                </c:pt>
                <c:pt idx="3">
                  <c:v>32.68</c:v>
                </c:pt>
                <c:pt idx="4">
                  <c:v>38.5</c:v>
                </c:pt>
                <c:pt idx="5">
                  <c:v>44.524999999999999</c:v>
                </c:pt>
                <c:pt idx="6">
                  <c:v>50.769999999999996</c:v>
                </c:pt>
                <c:pt idx="7">
                  <c:v>57.25</c:v>
                </c:pt>
                <c:pt idx="8">
                  <c:v>63.97</c:v>
                </c:pt>
                <c:pt idx="9">
                  <c:v>70.931920000000005</c:v>
                </c:pt>
                <c:pt idx="10">
                  <c:v>78.144469120000011</c:v>
                </c:pt>
                <c:pt idx="11">
                  <c:v>85.616670008320014</c:v>
                </c:pt>
                <c:pt idx="12">
                  <c:v>93.357870128619538</c:v>
                </c:pt>
                <c:pt idx="13">
                  <c:v>101.37775345324984</c:v>
                </c:pt>
                <c:pt idx="14">
                  <c:v>109.68635257756684</c:v>
                </c:pt>
                <c:pt idx="15">
                  <c:v>118.29406127035925</c:v>
                </c:pt>
                <c:pt idx="16">
                  <c:v>127.21164747609218</c:v>
                </c:pt>
                <c:pt idx="17">
                  <c:v>136.45026678523149</c:v>
                </c:pt>
                <c:pt idx="18">
                  <c:v>146.02147638949984</c:v>
                </c:pt>
                <c:pt idx="19">
                  <c:v>155.93724953952184</c:v>
                </c:pt>
                <c:pt idx="20">
                  <c:v>166.20999052294462</c:v>
                </c:pt>
                <c:pt idx="21">
                  <c:v>176.85255018177062</c:v>
                </c:pt>
                <c:pt idx="22">
                  <c:v>187.87824198831436</c:v>
                </c:pt>
                <c:pt idx="23">
                  <c:v>199.30085869989367</c:v>
                </c:pt>
                <c:pt idx="24">
                  <c:v>211.13468961308985</c:v>
                </c:pt>
                <c:pt idx="25">
                  <c:v>223.3945384391611</c:v>
                </c:pt>
                <c:pt idx="26">
                  <c:v>236.09574182297089</c:v>
                </c:pt>
                <c:pt idx="27">
                  <c:v>249.25418852859787</c:v>
                </c:pt>
                <c:pt idx="28">
                  <c:v>262.88633931562737</c:v>
                </c:pt>
                <c:pt idx="29">
                  <c:v>277.00924753098997</c:v>
                </c:pt>
                <c:pt idx="30">
                  <c:v>291.6405804421056</c:v>
                </c:pt>
                <c:pt idx="31">
                  <c:v>306.79864133802141</c:v>
                </c:pt>
                <c:pt idx="32">
                  <c:v>322.50239242619017</c:v>
                </c:pt>
                <c:pt idx="33">
                  <c:v>338.77147855353303</c:v>
                </c:pt>
                <c:pt idx="34">
                  <c:v>355.62625178146021</c:v>
                </c:pt>
                <c:pt idx="35">
                  <c:v>373.08779684559278</c:v>
                </c:pt>
                <c:pt idx="36">
                  <c:v>391.17795753203416</c:v>
                </c:pt>
                <c:pt idx="37">
                  <c:v>409.91936400318741</c:v>
                </c:pt>
                <c:pt idx="38">
                  <c:v>429.33546110730219</c:v>
                </c:pt>
                <c:pt idx="39">
                  <c:v>449.4505377071651</c:v>
                </c:pt>
                <c:pt idx="40">
                  <c:v>470.28975706462302</c:v>
                </c:pt>
                <c:pt idx="41">
                  <c:v>491.87918831894945</c:v>
                </c:pt>
                <c:pt idx="42">
                  <c:v>514.24583909843159</c:v>
                </c:pt>
              </c:numCache>
            </c:numRef>
          </c:val>
          <c:smooth val="0"/>
        </c:ser>
        <c:dLbls>
          <c:showLegendKey val="0"/>
          <c:showVal val="0"/>
          <c:showCatName val="0"/>
          <c:showSerName val="0"/>
          <c:showPercent val="0"/>
          <c:showBubbleSize val="0"/>
        </c:dLbls>
        <c:marker val="1"/>
        <c:smooth val="0"/>
        <c:axId val="203798016"/>
        <c:axId val="185105728"/>
      </c:lineChart>
      <c:catAx>
        <c:axId val="20379801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85105728"/>
        <c:crosses val="autoZero"/>
        <c:auto val="1"/>
        <c:lblAlgn val="ctr"/>
        <c:lblOffset val="100"/>
        <c:noMultiLvlLbl val="0"/>
      </c:catAx>
      <c:valAx>
        <c:axId val="18510572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379801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2'!$B$11:$B$53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2'!$R$11:$R$53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2'!$X$11:$X$53</c:f>
              <c:numCache>
                <c:formatCode>_(* #,##0.000_);_(* \(#,##0.000\);_(* "-"???_);_(@_)</c:formatCode>
                <c:ptCount val="43"/>
                <c:pt idx="0">
                  <c:v>0</c:v>
                </c:pt>
                <c:pt idx="1">
                  <c:v>10.53</c:v>
                </c:pt>
                <c:pt idx="2">
                  <c:v>21.45</c:v>
                </c:pt>
                <c:pt idx="3">
                  <c:v>32.68</c:v>
                </c:pt>
                <c:pt idx="4">
                  <c:v>48.975999999999999</c:v>
                </c:pt>
                <c:pt idx="5">
                  <c:v>65.846000000000004</c:v>
                </c:pt>
                <c:pt idx="6">
                  <c:v>83.332000000000008</c:v>
                </c:pt>
                <c:pt idx="7">
                  <c:v>94.996000000000009</c:v>
                </c:pt>
                <c:pt idx="8">
                  <c:v>107.09200000000001</c:v>
                </c:pt>
                <c:pt idx="9">
                  <c:v>119.62345600000002</c:v>
                </c:pt>
                <c:pt idx="10">
                  <c:v>132.60604441600003</c:v>
                </c:pt>
                <c:pt idx="11">
                  <c:v>146.05600601497602</c:v>
                </c:pt>
                <c:pt idx="12">
                  <c:v>159.99016623151516</c:v>
                </c:pt>
                <c:pt idx="13">
                  <c:v>174.42595621584971</c:v>
                </c:pt>
                <c:pt idx="14">
                  <c:v>189.3814346396203</c:v>
                </c:pt>
                <c:pt idx="15">
                  <c:v>204.87531028664662</c:v>
                </c:pt>
                <c:pt idx="16">
                  <c:v>220.92696545696592</c:v>
                </c:pt>
                <c:pt idx="17">
                  <c:v>237.55648021341671</c:v>
                </c:pt>
                <c:pt idx="18">
                  <c:v>254.7846575010997</c:v>
                </c:pt>
                <c:pt idx="19">
                  <c:v>272.63304917113931</c:v>
                </c:pt>
                <c:pt idx="20">
                  <c:v>291.12398294130031</c:v>
                </c:pt>
                <c:pt idx="21">
                  <c:v>310.28059032718716</c:v>
                </c:pt>
                <c:pt idx="22">
                  <c:v>330.12683557896588</c:v>
                </c:pt>
                <c:pt idx="23">
                  <c:v>350.68754565980868</c:v>
                </c:pt>
                <c:pt idx="24">
                  <c:v>371.98844130356179</c:v>
                </c:pt>
                <c:pt idx="25">
                  <c:v>394.05616919049004</c:v>
                </c:pt>
                <c:pt idx="26">
                  <c:v>416.91833528134771</c:v>
                </c:pt>
                <c:pt idx="27">
                  <c:v>440.60353935147623</c:v>
                </c:pt>
                <c:pt idx="28">
                  <c:v>465.14141076812939</c:v>
                </c:pt>
                <c:pt idx="29">
                  <c:v>490.56264555578207</c:v>
                </c:pt>
                <c:pt idx="30">
                  <c:v>516.89904479579025</c:v>
                </c:pt>
                <c:pt idx="31">
                  <c:v>544.18355440843868</c:v>
                </c:pt>
                <c:pt idx="32">
                  <c:v>572.4503063671425</c:v>
                </c:pt>
                <c:pt idx="33">
                  <c:v>601.73466139635968</c:v>
                </c:pt>
                <c:pt idx="34">
                  <c:v>632.07325320662869</c:v>
                </c:pt>
                <c:pt idx="35">
                  <c:v>663.50403432206735</c:v>
                </c:pt>
                <c:pt idx="36">
                  <c:v>696.0663235576618</c:v>
                </c:pt>
                <c:pt idx="37">
                  <c:v>729.80085520573766</c:v>
                </c:pt>
                <c:pt idx="38">
                  <c:v>764.7498299931442</c:v>
                </c:pt>
                <c:pt idx="39">
                  <c:v>800.95696787289739</c:v>
                </c:pt>
                <c:pt idx="40">
                  <c:v>838.46756271632171</c:v>
                </c:pt>
                <c:pt idx="41">
                  <c:v>877.32853897410928</c:v>
                </c:pt>
                <c:pt idx="42">
                  <c:v>917.58851037717727</c:v>
                </c:pt>
              </c:numCache>
            </c:numRef>
          </c:val>
          <c:smooth val="0"/>
        </c:ser>
        <c:dLbls>
          <c:showLegendKey val="0"/>
          <c:showVal val="0"/>
          <c:showCatName val="0"/>
          <c:showSerName val="0"/>
          <c:showPercent val="0"/>
          <c:showBubbleSize val="0"/>
        </c:dLbls>
        <c:marker val="1"/>
        <c:smooth val="0"/>
        <c:axId val="204119040"/>
        <c:axId val="232310464"/>
      </c:lineChart>
      <c:catAx>
        <c:axId val="20411904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2310464"/>
        <c:crosses val="autoZero"/>
        <c:auto val="1"/>
        <c:lblAlgn val="ctr"/>
        <c:lblOffset val="100"/>
        <c:noMultiLvlLbl val="0"/>
      </c:catAx>
      <c:valAx>
        <c:axId val="23231046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411904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3'!$B$11:$B$53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3'!$R$11:$R$53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3'!$X$11:$X$53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152.76796441600001</c:v>
                </c:pt>
                <c:pt idx="11">
                  <c:v>166.217926014976</c:v>
                </c:pt>
                <c:pt idx="12">
                  <c:v>180.15208623151514</c:v>
                </c:pt>
                <c:pt idx="13">
                  <c:v>194.58787621584969</c:v>
                </c:pt>
                <c:pt idx="14">
                  <c:v>209.54335463962028</c:v>
                </c:pt>
                <c:pt idx="15">
                  <c:v>225.0372302866466</c:v>
                </c:pt>
                <c:pt idx="16">
                  <c:v>241.0888854569659</c:v>
                </c:pt>
                <c:pt idx="17">
                  <c:v>257.71840021341666</c:v>
                </c:pt>
                <c:pt idx="18">
                  <c:v>274.94657750109968</c:v>
                </c:pt>
                <c:pt idx="19">
                  <c:v>292.79496917113926</c:v>
                </c:pt>
                <c:pt idx="20">
                  <c:v>311.28590294130026</c:v>
                </c:pt>
                <c:pt idx="21">
                  <c:v>330.44251032718711</c:v>
                </c:pt>
                <c:pt idx="22">
                  <c:v>350.28875557896583</c:v>
                </c:pt>
                <c:pt idx="23">
                  <c:v>370.84946565980863</c:v>
                </c:pt>
                <c:pt idx="24">
                  <c:v>392.15036130356174</c:v>
                </c:pt>
                <c:pt idx="25">
                  <c:v>414.21808919048999</c:v>
                </c:pt>
                <c:pt idx="26">
                  <c:v>437.08025528134766</c:v>
                </c:pt>
                <c:pt idx="27">
                  <c:v>460.76545935147618</c:v>
                </c:pt>
                <c:pt idx="28">
                  <c:v>485.30333076812934</c:v>
                </c:pt>
                <c:pt idx="29">
                  <c:v>510.72456555578202</c:v>
                </c:pt>
                <c:pt idx="30">
                  <c:v>537.06096479579014</c:v>
                </c:pt>
                <c:pt idx="31">
                  <c:v>564.34547440843858</c:v>
                </c:pt>
                <c:pt idx="32">
                  <c:v>592.6122263671424</c:v>
                </c:pt>
                <c:pt idx="33">
                  <c:v>621.89658139635958</c:v>
                </c:pt>
                <c:pt idx="34">
                  <c:v>652.23517320662859</c:v>
                </c:pt>
                <c:pt idx="35">
                  <c:v>683.66595432206725</c:v>
                </c:pt>
                <c:pt idx="36">
                  <c:v>716.2282435576617</c:v>
                </c:pt>
                <c:pt idx="37">
                  <c:v>749.96277520573756</c:v>
                </c:pt>
                <c:pt idx="38">
                  <c:v>784.9117499931441</c:v>
                </c:pt>
                <c:pt idx="39">
                  <c:v>821.11888787289729</c:v>
                </c:pt>
                <c:pt idx="40">
                  <c:v>858.6294827163216</c:v>
                </c:pt>
                <c:pt idx="41">
                  <c:v>897.49045897410917</c:v>
                </c:pt>
                <c:pt idx="42">
                  <c:v>937.75043037717705</c:v>
                </c:pt>
              </c:numCache>
            </c:numRef>
          </c:val>
          <c:smooth val="0"/>
        </c:ser>
        <c:dLbls>
          <c:showLegendKey val="0"/>
          <c:showVal val="0"/>
          <c:showCatName val="0"/>
          <c:showSerName val="0"/>
          <c:showPercent val="0"/>
          <c:showBubbleSize val="0"/>
        </c:dLbls>
        <c:marker val="1"/>
        <c:smooth val="0"/>
        <c:axId val="238076416"/>
        <c:axId val="232312192"/>
      </c:lineChart>
      <c:catAx>
        <c:axId val="23807641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2312192"/>
        <c:crosses val="autoZero"/>
        <c:auto val="1"/>
        <c:lblAlgn val="ctr"/>
        <c:lblOffset val="100"/>
        <c:noMultiLvlLbl val="0"/>
      </c:catAx>
      <c:valAx>
        <c:axId val="23231219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807641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4'!$B$11:$B$53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4'!$R$11:$R$53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4'!$X$11:$X$53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217.01382634446921</c:v>
                </c:pt>
                <c:pt idx="14">
                  <c:v>231.96930476823979</c:v>
                </c:pt>
                <c:pt idx="15">
                  <c:v>247.46318041526612</c:v>
                </c:pt>
                <c:pt idx="16">
                  <c:v>263.51483558558539</c:v>
                </c:pt>
                <c:pt idx="17">
                  <c:v>280.14435034203615</c:v>
                </c:pt>
                <c:pt idx="18">
                  <c:v>297.37252762971917</c:v>
                </c:pt>
                <c:pt idx="19">
                  <c:v>315.22091929975875</c:v>
                </c:pt>
                <c:pt idx="20">
                  <c:v>333.71185306991975</c:v>
                </c:pt>
                <c:pt idx="21">
                  <c:v>352.8684604558066</c:v>
                </c:pt>
                <c:pt idx="22">
                  <c:v>372.71470570758532</c:v>
                </c:pt>
                <c:pt idx="23">
                  <c:v>393.27541578842812</c:v>
                </c:pt>
                <c:pt idx="24">
                  <c:v>414.57631143218123</c:v>
                </c:pt>
                <c:pt idx="25">
                  <c:v>436.64403931910948</c:v>
                </c:pt>
                <c:pt idx="26">
                  <c:v>459.50620540996715</c:v>
                </c:pt>
                <c:pt idx="27">
                  <c:v>483.19140948009567</c:v>
                </c:pt>
                <c:pt idx="28">
                  <c:v>507.72928089674883</c:v>
                </c:pt>
                <c:pt idx="29">
                  <c:v>533.15051568440151</c:v>
                </c:pt>
                <c:pt idx="30">
                  <c:v>559.48691492440969</c:v>
                </c:pt>
                <c:pt idx="31">
                  <c:v>586.77142453705812</c:v>
                </c:pt>
                <c:pt idx="32">
                  <c:v>615.03817649576195</c:v>
                </c:pt>
                <c:pt idx="33">
                  <c:v>644.32253152497913</c:v>
                </c:pt>
                <c:pt idx="34">
                  <c:v>674.66112333524813</c:v>
                </c:pt>
                <c:pt idx="35">
                  <c:v>706.0919044506868</c:v>
                </c:pt>
                <c:pt idx="36">
                  <c:v>738.65419368628125</c:v>
                </c:pt>
                <c:pt idx="37">
                  <c:v>772.3887253343571</c:v>
                </c:pt>
                <c:pt idx="38">
                  <c:v>807.33770012176365</c:v>
                </c:pt>
                <c:pt idx="39">
                  <c:v>843.54483800151684</c:v>
                </c:pt>
                <c:pt idx="40">
                  <c:v>881.05543284494115</c:v>
                </c:pt>
                <c:pt idx="41">
                  <c:v>919.91640910272872</c:v>
                </c:pt>
                <c:pt idx="42">
                  <c:v>960.17638050579671</c:v>
                </c:pt>
              </c:numCache>
            </c:numRef>
          </c:val>
          <c:smooth val="0"/>
        </c:ser>
        <c:dLbls>
          <c:showLegendKey val="0"/>
          <c:showVal val="0"/>
          <c:showCatName val="0"/>
          <c:showSerName val="0"/>
          <c:showPercent val="0"/>
          <c:showBubbleSize val="0"/>
        </c:dLbls>
        <c:marker val="1"/>
        <c:smooth val="0"/>
        <c:axId val="238690816"/>
        <c:axId val="232314496"/>
      </c:lineChart>
      <c:catAx>
        <c:axId val="23869081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2314496"/>
        <c:crosses val="autoZero"/>
        <c:auto val="1"/>
        <c:lblAlgn val="ctr"/>
        <c:lblOffset val="100"/>
        <c:noMultiLvlLbl val="0"/>
      </c:catAx>
      <c:valAx>
        <c:axId val="2323144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869081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5'!$B$11:$B$53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5'!$R$11:$R$53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5'!$X$11:$X$53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225.03370966909949</c:v>
                </c:pt>
                <c:pt idx="14">
                  <c:v>248.29778721718708</c:v>
                </c:pt>
                <c:pt idx="15">
                  <c:v>272.39937155700579</c:v>
                </c:pt>
                <c:pt idx="16">
                  <c:v>288.45102672732509</c:v>
                </c:pt>
                <c:pt idx="17">
                  <c:v>305.08054148377585</c:v>
                </c:pt>
                <c:pt idx="18">
                  <c:v>322.30871877145887</c:v>
                </c:pt>
                <c:pt idx="19">
                  <c:v>340.15711044149845</c:v>
                </c:pt>
                <c:pt idx="20">
                  <c:v>358.64804421165945</c:v>
                </c:pt>
                <c:pt idx="21">
                  <c:v>377.8046515975463</c:v>
                </c:pt>
                <c:pt idx="22">
                  <c:v>397.65089684932502</c:v>
                </c:pt>
                <c:pt idx="23">
                  <c:v>418.21160693016782</c:v>
                </c:pt>
                <c:pt idx="24">
                  <c:v>439.51250257392093</c:v>
                </c:pt>
                <c:pt idx="25">
                  <c:v>461.58023046084918</c:v>
                </c:pt>
                <c:pt idx="26">
                  <c:v>484.44239655170685</c:v>
                </c:pt>
                <c:pt idx="27">
                  <c:v>508.12760062183537</c:v>
                </c:pt>
                <c:pt idx="28">
                  <c:v>532.66547203848847</c:v>
                </c:pt>
                <c:pt idx="29">
                  <c:v>558.08670682614115</c:v>
                </c:pt>
                <c:pt idx="30">
                  <c:v>584.42310606614933</c:v>
                </c:pt>
                <c:pt idx="31">
                  <c:v>611.70761567879777</c:v>
                </c:pt>
                <c:pt idx="32">
                  <c:v>639.97436763750159</c:v>
                </c:pt>
                <c:pt idx="33">
                  <c:v>669.25872266671877</c:v>
                </c:pt>
                <c:pt idx="34">
                  <c:v>699.59731447698778</c:v>
                </c:pt>
                <c:pt idx="35">
                  <c:v>731.02809559242644</c:v>
                </c:pt>
                <c:pt idx="36">
                  <c:v>763.59038482802089</c:v>
                </c:pt>
                <c:pt idx="37">
                  <c:v>797.32491647609675</c:v>
                </c:pt>
                <c:pt idx="38">
                  <c:v>832.27389126350329</c:v>
                </c:pt>
                <c:pt idx="39">
                  <c:v>868.48102914325648</c:v>
                </c:pt>
                <c:pt idx="40">
                  <c:v>905.99162398668079</c:v>
                </c:pt>
                <c:pt idx="41">
                  <c:v>944.85260024446836</c:v>
                </c:pt>
                <c:pt idx="42">
                  <c:v>985.11257164753624</c:v>
                </c:pt>
              </c:numCache>
            </c:numRef>
          </c:val>
          <c:smooth val="0"/>
        </c:ser>
        <c:dLbls>
          <c:showLegendKey val="0"/>
          <c:showVal val="0"/>
          <c:showCatName val="0"/>
          <c:showSerName val="0"/>
          <c:showPercent val="0"/>
          <c:showBubbleSize val="0"/>
        </c:dLbls>
        <c:marker val="1"/>
        <c:smooth val="0"/>
        <c:axId val="270455296"/>
        <c:axId val="238568000"/>
      </c:lineChart>
      <c:catAx>
        <c:axId val="27045529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8568000"/>
        <c:crosses val="autoZero"/>
        <c:auto val="1"/>
        <c:lblAlgn val="ctr"/>
        <c:lblOffset val="100"/>
        <c:noMultiLvlLbl val="0"/>
      </c:catAx>
      <c:valAx>
        <c:axId val="23856800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7045529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180</xdr:row>
      <xdr:rowOff>19049</xdr:rowOff>
    </xdr:from>
    <xdr:to>
      <xdr:col>18</xdr:col>
      <xdr:colOff>809625</xdr:colOff>
      <xdr:row>215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9"/>
  <sheetViews>
    <sheetView workbookViewId="0">
      <selection activeCell="C26" sqref="C26"/>
    </sheetView>
  </sheetViews>
  <sheetFormatPr defaultRowHeight="12.75" x14ac:dyDescent="0.2"/>
  <cols>
    <col min="1" max="1" width="9.140625" style="135"/>
    <col min="2" max="2" width="16.140625" style="136" customWidth="1"/>
    <col min="3" max="3" width="13.140625" style="136" customWidth="1"/>
    <col min="4" max="4" width="6.7109375" style="137" customWidth="1"/>
    <col min="5" max="5" width="10.28515625" style="136" customWidth="1"/>
    <col min="6" max="6" width="8.28515625" style="136" customWidth="1"/>
    <col min="7" max="7" width="8" style="136" customWidth="1"/>
    <col min="8" max="10" width="11.140625" style="136" bestFit="1" customWidth="1"/>
    <col min="11" max="24" width="12.140625" style="136" bestFit="1" customWidth="1"/>
    <col min="25" max="25" width="12.28515625" style="136" bestFit="1" customWidth="1"/>
    <col min="26" max="16384" width="9.140625" style="136"/>
  </cols>
  <sheetData>
    <row r="1" spans="1:25" x14ac:dyDescent="0.2">
      <c r="H1" s="138"/>
    </row>
    <row r="2" spans="1:25" ht="13.5" thickBot="1" x14ac:dyDescent="0.25"/>
    <row r="3" spans="1:25" ht="13.5" thickBot="1" x14ac:dyDescent="0.25">
      <c r="B3" s="547" t="s">
        <v>354</v>
      </c>
      <c r="C3" s="548"/>
      <c r="D3" s="139"/>
      <c r="E3" s="551" t="s">
        <v>355</v>
      </c>
      <c r="F3" s="553" t="s">
        <v>356</v>
      </c>
      <c r="G3" s="554"/>
      <c r="H3" s="554"/>
      <c r="I3" s="554"/>
      <c r="J3" s="554"/>
      <c r="K3" s="554"/>
      <c r="L3" s="554"/>
      <c r="M3" s="554"/>
      <c r="N3" s="554"/>
      <c r="O3" s="554"/>
      <c r="P3" s="554"/>
      <c r="Q3" s="554"/>
      <c r="R3" s="554"/>
      <c r="S3" s="554"/>
      <c r="T3" s="554"/>
      <c r="U3" s="554"/>
      <c r="V3" s="554"/>
      <c r="W3" s="554"/>
      <c r="X3" s="555"/>
    </row>
    <row r="4" spans="1:25" ht="13.5" thickBot="1" x14ac:dyDescent="0.25">
      <c r="B4" s="549"/>
      <c r="C4" s="550"/>
      <c r="D4" s="140" t="s">
        <v>357</v>
      </c>
      <c r="E4" s="552"/>
      <c r="F4" s="141" t="s">
        <v>358</v>
      </c>
      <c r="G4" s="142" t="s">
        <v>359</v>
      </c>
      <c r="H4" s="142" t="s">
        <v>360</v>
      </c>
      <c r="I4" s="142" t="s">
        <v>361</v>
      </c>
      <c r="J4" s="142" t="s">
        <v>362</v>
      </c>
      <c r="K4" s="142" t="s">
        <v>363</v>
      </c>
      <c r="L4" s="142" t="s">
        <v>364</v>
      </c>
      <c r="M4" s="142" t="s">
        <v>365</v>
      </c>
      <c r="N4" s="142" t="s">
        <v>366</v>
      </c>
      <c r="O4" s="142" t="s">
        <v>367</v>
      </c>
      <c r="P4" s="143" t="s">
        <v>368</v>
      </c>
      <c r="Q4" s="143" t="s">
        <v>369</v>
      </c>
      <c r="R4" s="143" t="s">
        <v>370</v>
      </c>
      <c r="S4" s="143" t="s">
        <v>371</v>
      </c>
      <c r="T4" s="143" t="s">
        <v>372</v>
      </c>
      <c r="U4" s="143" t="s">
        <v>373</v>
      </c>
      <c r="V4" s="143" t="s">
        <v>374</v>
      </c>
      <c r="W4" s="143" t="s">
        <v>505</v>
      </c>
      <c r="X4" s="144" t="s">
        <v>40</v>
      </c>
      <c r="Y4" s="145"/>
    </row>
    <row r="5" spans="1:25" hidden="1" x14ac:dyDescent="0.2">
      <c r="B5" s="556" t="s">
        <v>375</v>
      </c>
      <c r="C5" s="557"/>
      <c r="D5" s="146"/>
      <c r="E5" s="147"/>
      <c r="F5" s="148"/>
      <c r="G5" s="149"/>
      <c r="H5" s="149"/>
      <c r="I5" s="149"/>
      <c r="J5" s="149"/>
      <c r="K5" s="149"/>
      <c r="L5" s="149"/>
      <c r="M5" s="149"/>
      <c r="N5" s="149"/>
      <c r="O5" s="149"/>
      <c r="P5" s="150"/>
      <c r="Q5" s="150"/>
      <c r="R5" s="150"/>
      <c r="S5" s="150"/>
      <c r="T5" s="150"/>
      <c r="U5" s="150"/>
      <c r="V5" s="150"/>
      <c r="W5" s="151"/>
      <c r="X5" s="152">
        <f>SUM(F5:W5)</f>
        <v>0</v>
      </c>
      <c r="Y5" s="145"/>
    </row>
    <row r="6" spans="1:25" ht="25.5" hidden="1" x14ac:dyDescent="0.2">
      <c r="B6" s="153" t="s">
        <v>376</v>
      </c>
      <c r="C6" s="154">
        <v>244361824</v>
      </c>
      <c r="D6" s="155">
        <v>30</v>
      </c>
      <c r="E6" s="156" t="s">
        <v>377</v>
      </c>
      <c r="F6" s="157">
        <f>0.25*C6</f>
        <v>61090456</v>
      </c>
      <c r="G6" s="158"/>
      <c r="H6" s="158"/>
      <c r="I6" s="158"/>
      <c r="J6" s="158"/>
      <c r="K6" s="158"/>
      <c r="L6" s="158"/>
      <c r="M6" s="158"/>
      <c r="N6" s="158"/>
      <c r="O6" s="158"/>
      <c r="P6" s="159"/>
      <c r="Q6" s="159"/>
      <c r="R6" s="159"/>
      <c r="S6" s="159"/>
      <c r="T6" s="159"/>
      <c r="U6" s="159"/>
      <c r="V6" s="159"/>
      <c r="W6" s="160"/>
      <c r="X6" s="161">
        <f>SUM(F6:W6)</f>
        <v>61090456</v>
      </c>
      <c r="Y6" s="145"/>
    </row>
    <row r="7" spans="1:25" hidden="1" x14ac:dyDescent="0.2">
      <c r="B7" s="162" t="s">
        <v>378</v>
      </c>
      <c r="C7" s="163">
        <v>6.03</v>
      </c>
      <c r="D7" s="155">
        <v>37</v>
      </c>
      <c r="E7" s="156" t="s">
        <v>379</v>
      </c>
      <c r="F7" s="157">
        <f>F6*0.1</f>
        <v>6109045.6000000006</v>
      </c>
      <c r="G7" s="158"/>
      <c r="H7" s="158"/>
      <c r="I7" s="158"/>
      <c r="J7" s="158"/>
      <c r="K7" s="158"/>
      <c r="L7" s="158"/>
      <c r="M7" s="158"/>
      <c r="N7" s="158"/>
      <c r="O7" s="158"/>
      <c r="P7" s="159"/>
      <c r="Q7" s="159"/>
      <c r="R7" s="159"/>
      <c r="S7" s="159"/>
      <c r="T7" s="159"/>
      <c r="U7" s="159"/>
      <c r="V7" s="159"/>
      <c r="W7" s="160"/>
      <c r="X7" s="161">
        <f>SUM(F7:W7)</f>
        <v>6109045.6000000006</v>
      </c>
      <c r="Y7" s="145"/>
    </row>
    <row r="8" spans="1:25" ht="51" hidden="1" x14ac:dyDescent="0.2">
      <c r="B8" s="164"/>
      <c r="C8" s="164"/>
      <c r="D8" s="165">
        <v>37</v>
      </c>
      <c r="E8" s="156" t="s">
        <v>380</v>
      </c>
      <c r="F8" s="166">
        <f>F6*0.05</f>
        <v>3054522.8000000003</v>
      </c>
      <c r="G8" s="167"/>
      <c r="H8" s="167"/>
      <c r="I8" s="167"/>
      <c r="J8" s="167"/>
      <c r="K8" s="167"/>
      <c r="L8" s="167"/>
      <c r="M8" s="167"/>
      <c r="N8" s="167"/>
      <c r="O8" s="167"/>
      <c r="P8" s="168"/>
      <c r="Q8" s="168"/>
      <c r="R8" s="168"/>
      <c r="S8" s="168"/>
      <c r="T8" s="168"/>
      <c r="U8" s="168"/>
      <c r="V8" s="168"/>
      <c r="W8" s="169"/>
      <c r="X8" s="170">
        <f>SUM(F8:W8)</f>
        <v>3054522.8000000003</v>
      </c>
      <c r="Y8" s="145"/>
    </row>
    <row r="9" spans="1:25" ht="13.5" hidden="1" thickBot="1" x14ac:dyDescent="0.25">
      <c r="B9" s="171"/>
      <c r="C9" s="171"/>
      <c r="D9" s="172"/>
      <c r="E9" s="173"/>
      <c r="F9" s="174"/>
      <c r="G9" s="175"/>
      <c r="H9" s="175"/>
      <c r="I9" s="175"/>
      <c r="J9" s="175"/>
      <c r="K9" s="175"/>
      <c r="L9" s="175"/>
      <c r="M9" s="175"/>
      <c r="N9" s="175"/>
      <c r="O9" s="175"/>
      <c r="P9" s="176"/>
      <c r="Q9" s="176"/>
      <c r="R9" s="176"/>
      <c r="S9" s="176"/>
      <c r="T9" s="176"/>
      <c r="U9" s="176"/>
      <c r="V9" s="176"/>
      <c r="W9" s="177"/>
      <c r="X9" s="178">
        <f>SUM(F9:W9)</f>
        <v>0</v>
      </c>
      <c r="Y9" s="145"/>
    </row>
    <row r="10" spans="1:25" ht="13.5" hidden="1" thickBot="1" x14ac:dyDescent="0.25">
      <c r="B10" s="558" t="s">
        <v>381</v>
      </c>
      <c r="C10" s="559"/>
      <c r="D10" s="560"/>
      <c r="E10" s="179"/>
      <c r="F10" s="180">
        <f t="shared" ref="F10:X10" si="0">SUM(F5:F9)</f>
        <v>70254024.399999991</v>
      </c>
      <c r="G10" s="181">
        <f t="shared" si="0"/>
        <v>0</v>
      </c>
      <c r="H10" s="181">
        <f t="shared" si="0"/>
        <v>0</v>
      </c>
      <c r="I10" s="181">
        <f t="shared" si="0"/>
        <v>0</v>
      </c>
      <c r="J10" s="181">
        <f t="shared" si="0"/>
        <v>0</v>
      </c>
      <c r="K10" s="181">
        <f t="shared" si="0"/>
        <v>0</v>
      </c>
      <c r="L10" s="181">
        <f t="shared" si="0"/>
        <v>0</v>
      </c>
      <c r="M10" s="181">
        <f t="shared" si="0"/>
        <v>0</v>
      </c>
      <c r="N10" s="181">
        <f t="shared" si="0"/>
        <v>0</v>
      </c>
      <c r="O10" s="181">
        <f t="shared" si="0"/>
        <v>0</v>
      </c>
      <c r="P10" s="182">
        <f t="shared" si="0"/>
        <v>0</v>
      </c>
      <c r="Q10" s="182">
        <f t="shared" si="0"/>
        <v>0</v>
      </c>
      <c r="R10" s="182">
        <f t="shared" si="0"/>
        <v>0</v>
      </c>
      <c r="S10" s="182">
        <f t="shared" si="0"/>
        <v>0</v>
      </c>
      <c r="T10" s="182">
        <f t="shared" si="0"/>
        <v>0</v>
      </c>
      <c r="U10" s="182">
        <f t="shared" si="0"/>
        <v>0</v>
      </c>
      <c r="V10" s="182"/>
      <c r="W10" s="183">
        <f t="shared" si="0"/>
        <v>0</v>
      </c>
      <c r="X10" s="184">
        <f t="shared" si="0"/>
        <v>70254024.399999991</v>
      </c>
      <c r="Y10" s="145"/>
    </row>
    <row r="11" spans="1:25" ht="13.5" hidden="1" thickTop="1" x14ac:dyDescent="0.2">
      <c r="B11" s="561" t="s">
        <v>382</v>
      </c>
      <c r="C11" s="562"/>
      <c r="D11" s="185">
        <v>10</v>
      </c>
      <c r="E11" s="186"/>
      <c r="F11" s="187"/>
      <c r="G11" s="188"/>
      <c r="H11" s="188">
        <v>408700</v>
      </c>
      <c r="I11" s="188"/>
      <c r="J11" s="188"/>
      <c r="K11" s="188"/>
      <c r="L11" s="188"/>
      <c r="M11" s="188"/>
      <c r="N11" s="188"/>
      <c r="O11" s="188"/>
      <c r="P11" s="189"/>
      <c r="Q11" s="189"/>
      <c r="R11" s="189"/>
      <c r="S11" s="189"/>
      <c r="T11" s="189"/>
      <c r="U11" s="189"/>
      <c r="V11" s="189"/>
      <c r="W11" s="190"/>
      <c r="X11" s="191">
        <f>SUM(F11:W11)</f>
        <v>408700</v>
      </c>
      <c r="Y11" s="145"/>
    </row>
    <row r="12" spans="1:25" ht="25.5" hidden="1" x14ac:dyDescent="0.2">
      <c r="B12" s="192" t="s">
        <v>376</v>
      </c>
      <c r="C12" s="193">
        <f>SUM(X11:X15)</f>
        <v>266654276.31</v>
      </c>
      <c r="D12" s="194">
        <v>30</v>
      </c>
      <c r="E12" s="195" t="s">
        <v>377</v>
      </c>
      <c r="F12" s="196">
        <v>72580747</v>
      </c>
      <c r="G12" s="197">
        <v>108695109</v>
      </c>
      <c r="H12" s="197">
        <v>60000000</v>
      </c>
      <c r="I12" s="197"/>
      <c r="J12" s="197"/>
      <c r="K12" s="197"/>
      <c r="L12" s="197"/>
      <c r="M12" s="197"/>
      <c r="N12" s="197"/>
      <c r="O12" s="197"/>
      <c r="P12" s="198"/>
      <c r="Q12" s="198"/>
      <c r="R12" s="198"/>
      <c r="S12" s="198"/>
      <c r="T12" s="198"/>
      <c r="U12" s="198"/>
      <c r="V12" s="198"/>
      <c r="W12" s="199"/>
      <c r="X12" s="200">
        <f>SUM(F12:W12)</f>
        <v>241275856</v>
      </c>
      <c r="Y12" s="145"/>
    </row>
    <row r="13" spans="1:25" hidden="1" x14ac:dyDescent="0.2">
      <c r="B13" s="201" t="s">
        <v>378</v>
      </c>
      <c r="C13" s="202">
        <v>5.3949999999999996</v>
      </c>
      <c r="D13" s="194">
        <v>37</v>
      </c>
      <c r="E13" s="195" t="s">
        <v>379</v>
      </c>
      <c r="F13" s="196"/>
      <c r="G13" s="197">
        <v>3619215</v>
      </c>
      <c r="H13" s="197"/>
      <c r="I13" s="197"/>
      <c r="J13" s="197"/>
      <c r="K13" s="197"/>
      <c r="L13" s="197"/>
      <c r="M13" s="197"/>
      <c r="N13" s="197"/>
      <c r="O13" s="197"/>
      <c r="P13" s="198"/>
      <c r="Q13" s="198"/>
      <c r="R13" s="198"/>
      <c r="S13" s="198"/>
      <c r="T13" s="198"/>
      <c r="U13" s="198"/>
      <c r="V13" s="198"/>
      <c r="W13" s="199"/>
      <c r="X13" s="200">
        <f>SUM(F13:W13)</f>
        <v>3619215</v>
      </c>
      <c r="Y13" s="145"/>
    </row>
    <row r="14" spans="1:25" ht="51" hidden="1" x14ac:dyDescent="0.2">
      <c r="B14" s="201" t="s">
        <v>383</v>
      </c>
      <c r="C14" s="203"/>
      <c r="D14" s="204">
        <v>37</v>
      </c>
      <c r="E14" s="195" t="s">
        <v>380</v>
      </c>
      <c r="F14" s="196">
        <v>1889354.3100000005</v>
      </c>
      <c r="G14" s="197">
        <f>7561151+4000000</f>
        <v>11561151</v>
      </c>
      <c r="H14" s="197">
        <v>6000000</v>
      </c>
      <c r="I14" s="197"/>
      <c r="J14" s="197"/>
      <c r="K14" s="197"/>
      <c r="L14" s="197"/>
      <c r="M14" s="197"/>
      <c r="N14" s="197"/>
      <c r="O14" s="197"/>
      <c r="P14" s="198"/>
      <c r="Q14" s="198"/>
      <c r="R14" s="198"/>
      <c r="S14" s="198"/>
      <c r="T14" s="198"/>
      <c r="U14" s="198"/>
      <c r="V14" s="198"/>
      <c r="W14" s="199"/>
      <c r="X14" s="200">
        <f>SUM(F14:W14)</f>
        <v>19450505.310000002</v>
      </c>
      <c r="Y14" s="145"/>
    </row>
    <row r="15" spans="1:25" ht="13.5" hidden="1" thickBot="1" x14ac:dyDescent="0.25">
      <c r="B15" s="205"/>
      <c r="C15" s="205"/>
      <c r="D15" s="206">
        <v>41</v>
      </c>
      <c r="E15" s="207" t="s">
        <v>384</v>
      </c>
      <c r="F15" s="208"/>
      <c r="G15" s="209">
        <v>1700000</v>
      </c>
      <c r="H15" s="209">
        <v>200000</v>
      </c>
      <c r="I15" s="209"/>
      <c r="J15" s="209"/>
      <c r="K15" s="209"/>
      <c r="L15" s="209"/>
      <c r="M15" s="209"/>
      <c r="N15" s="209"/>
      <c r="O15" s="209"/>
      <c r="P15" s="210"/>
      <c r="Q15" s="210"/>
      <c r="R15" s="210"/>
      <c r="S15" s="210"/>
      <c r="T15" s="210"/>
      <c r="U15" s="210"/>
      <c r="V15" s="210"/>
      <c r="W15" s="211"/>
      <c r="X15" s="212">
        <f>SUM(F15:W15)</f>
        <v>1900000</v>
      </c>
      <c r="Y15" s="213"/>
    </row>
    <row r="16" spans="1:25" s="222" customFormat="1" ht="13.5" hidden="1" thickBot="1" x14ac:dyDescent="0.25">
      <c r="A16" s="214"/>
      <c r="B16" s="563" t="s">
        <v>381</v>
      </c>
      <c r="C16" s="564"/>
      <c r="D16" s="565"/>
      <c r="E16" s="215"/>
      <c r="F16" s="216">
        <f>SUM(F11:F15)</f>
        <v>74470101.310000002</v>
      </c>
      <c r="G16" s="217">
        <f t="shared" ref="G16:X16" si="1">SUM(G11:G15)</f>
        <v>125575475</v>
      </c>
      <c r="H16" s="217">
        <f t="shared" si="1"/>
        <v>66608700</v>
      </c>
      <c r="I16" s="217">
        <f t="shared" si="1"/>
        <v>0</v>
      </c>
      <c r="J16" s="217">
        <f t="shared" si="1"/>
        <v>0</v>
      </c>
      <c r="K16" s="217">
        <f t="shared" si="1"/>
        <v>0</v>
      </c>
      <c r="L16" s="217">
        <f t="shared" si="1"/>
        <v>0</v>
      </c>
      <c r="M16" s="217">
        <f t="shared" si="1"/>
        <v>0</v>
      </c>
      <c r="N16" s="217">
        <f t="shared" si="1"/>
        <v>0</v>
      </c>
      <c r="O16" s="217">
        <f t="shared" si="1"/>
        <v>0</v>
      </c>
      <c r="P16" s="218">
        <f t="shared" si="1"/>
        <v>0</v>
      </c>
      <c r="Q16" s="218">
        <f t="shared" si="1"/>
        <v>0</v>
      </c>
      <c r="R16" s="218">
        <f t="shared" si="1"/>
        <v>0</v>
      </c>
      <c r="S16" s="218">
        <f t="shared" si="1"/>
        <v>0</v>
      </c>
      <c r="T16" s="218">
        <f t="shared" si="1"/>
        <v>0</v>
      </c>
      <c r="U16" s="218">
        <f t="shared" si="1"/>
        <v>0</v>
      </c>
      <c r="V16" s="218"/>
      <c r="W16" s="219">
        <f t="shared" si="1"/>
        <v>0</v>
      </c>
      <c r="X16" s="220">
        <f t="shared" si="1"/>
        <v>266654276.31</v>
      </c>
      <c r="Y16" s="221"/>
    </row>
    <row r="17" spans="1:25" ht="13.5" hidden="1" thickTop="1" x14ac:dyDescent="0.2">
      <c r="B17" s="566" t="s">
        <v>385</v>
      </c>
      <c r="C17" s="567"/>
      <c r="D17" s="223">
        <v>10</v>
      </c>
      <c r="E17" s="224"/>
      <c r="F17" s="225"/>
      <c r="G17" s="226"/>
      <c r="H17" s="226">
        <v>200000</v>
      </c>
      <c r="I17" s="226">
        <v>500000</v>
      </c>
      <c r="J17" s="226"/>
      <c r="K17" s="226"/>
      <c r="L17" s="226"/>
      <c r="M17" s="226"/>
      <c r="N17" s="226"/>
      <c r="O17" s="226"/>
      <c r="P17" s="227"/>
      <c r="Q17" s="227"/>
      <c r="R17" s="227"/>
      <c r="S17" s="227"/>
      <c r="T17" s="227"/>
      <c r="U17" s="227"/>
      <c r="V17" s="227"/>
      <c r="W17" s="228"/>
      <c r="X17" s="229">
        <f>SUM(F17:W17)</f>
        <v>700000</v>
      </c>
      <c r="Y17" s="145"/>
    </row>
    <row r="18" spans="1:25" ht="25.5" hidden="1" x14ac:dyDescent="0.2">
      <c r="B18" s="230" t="s">
        <v>376</v>
      </c>
      <c r="C18" s="231">
        <f>SUM(X17:X21)</f>
        <v>35270000</v>
      </c>
      <c r="D18" s="232">
        <v>30</v>
      </c>
      <c r="E18" s="233" t="s">
        <v>377</v>
      </c>
      <c r="F18" s="234"/>
      <c r="G18" s="235"/>
      <c r="H18" s="235">
        <v>15000000</v>
      </c>
      <c r="I18" s="235">
        <v>8000000</v>
      </c>
      <c r="J18" s="235"/>
      <c r="K18" s="235"/>
      <c r="L18" s="235"/>
      <c r="M18" s="235"/>
      <c r="N18" s="235"/>
      <c r="O18" s="235"/>
      <c r="P18" s="236"/>
      <c r="Q18" s="236"/>
      <c r="R18" s="236"/>
      <c r="S18" s="236"/>
      <c r="T18" s="236"/>
      <c r="U18" s="236"/>
      <c r="V18" s="236"/>
      <c r="W18" s="237"/>
      <c r="X18" s="238">
        <f>SUM(F18:W18)</f>
        <v>23000000</v>
      </c>
      <c r="Y18" s="145"/>
    </row>
    <row r="19" spans="1:25" hidden="1" x14ac:dyDescent="0.2">
      <c r="B19" s="239" t="s">
        <v>378</v>
      </c>
      <c r="C19" s="240"/>
      <c r="D19" s="232">
        <v>37</v>
      </c>
      <c r="E19" s="233" t="s">
        <v>379</v>
      </c>
      <c r="F19" s="234"/>
      <c r="G19" s="235"/>
      <c r="H19" s="235">
        <v>1400000</v>
      </c>
      <c r="I19" s="235">
        <f>3170000-H19</f>
        <v>1770000</v>
      </c>
      <c r="J19" s="235"/>
      <c r="K19" s="235"/>
      <c r="L19" s="235"/>
      <c r="M19" s="235"/>
      <c r="N19" s="235"/>
      <c r="O19" s="235"/>
      <c r="P19" s="236"/>
      <c r="Q19" s="236"/>
      <c r="R19" s="236"/>
      <c r="S19" s="236"/>
      <c r="T19" s="236"/>
      <c r="U19" s="236"/>
      <c r="V19" s="236"/>
      <c r="W19" s="237"/>
      <c r="X19" s="238">
        <f>SUM(F19:W19)</f>
        <v>3170000</v>
      </c>
      <c r="Y19" s="145"/>
    </row>
    <row r="20" spans="1:25" ht="51" hidden="1" x14ac:dyDescent="0.2">
      <c r="B20" s="241" t="s">
        <v>383</v>
      </c>
      <c r="C20" s="241"/>
      <c r="D20" s="242">
        <v>37</v>
      </c>
      <c r="E20" s="233" t="s">
        <v>380</v>
      </c>
      <c r="F20" s="234"/>
      <c r="G20" s="235"/>
      <c r="H20" s="235">
        <f>400000*7</f>
        <v>2800000</v>
      </c>
      <c r="I20" s="235">
        <f>5000000-H20</f>
        <v>2200000</v>
      </c>
      <c r="J20" s="235"/>
      <c r="K20" s="235"/>
      <c r="L20" s="235"/>
      <c r="M20" s="235"/>
      <c r="N20" s="235"/>
      <c r="O20" s="235"/>
      <c r="P20" s="236"/>
      <c r="Q20" s="236"/>
      <c r="R20" s="236"/>
      <c r="S20" s="236"/>
      <c r="T20" s="236"/>
      <c r="U20" s="236"/>
      <c r="V20" s="236"/>
      <c r="W20" s="237"/>
      <c r="X20" s="238">
        <f>SUM(F20:W20)</f>
        <v>5000000</v>
      </c>
      <c r="Y20" s="145"/>
    </row>
    <row r="21" spans="1:25" ht="13.5" hidden="1" thickBot="1" x14ac:dyDescent="0.25">
      <c r="B21" s="243"/>
      <c r="C21" s="243"/>
      <c r="D21" s="244">
        <v>37</v>
      </c>
      <c r="E21" s="245" t="s">
        <v>386</v>
      </c>
      <c r="F21" s="246"/>
      <c r="G21" s="247"/>
      <c r="H21" s="247">
        <f>150000*7</f>
        <v>1050000</v>
      </c>
      <c r="I21" s="247">
        <f>2400000-H21+1000000</f>
        <v>2350000</v>
      </c>
      <c r="J21" s="247"/>
      <c r="K21" s="247"/>
      <c r="L21" s="247"/>
      <c r="M21" s="247"/>
      <c r="N21" s="247"/>
      <c r="O21" s="247"/>
      <c r="P21" s="248"/>
      <c r="Q21" s="248"/>
      <c r="R21" s="248"/>
      <c r="S21" s="248"/>
      <c r="T21" s="248"/>
      <c r="U21" s="248"/>
      <c r="V21" s="248"/>
      <c r="W21" s="249"/>
      <c r="X21" s="250">
        <f>SUM(F21:W21)</f>
        <v>3400000</v>
      </c>
      <c r="Y21" s="145"/>
    </row>
    <row r="22" spans="1:25" ht="13.5" hidden="1" thickBot="1" x14ac:dyDescent="0.25">
      <c r="B22" s="568" t="s">
        <v>381</v>
      </c>
      <c r="C22" s="569"/>
      <c r="D22" s="569"/>
      <c r="E22" s="251"/>
      <c r="F22" s="252">
        <f>SUM(F17:F21)</f>
        <v>0</v>
      </c>
      <c r="G22" s="253">
        <f t="shared" ref="G22:X22" si="2">SUM(G17:G21)</f>
        <v>0</v>
      </c>
      <c r="H22" s="253">
        <f t="shared" si="2"/>
        <v>20450000</v>
      </c>
      <c r="I22" s="253">
        <f t="shared" si="2"/>
        <v>14820000</v>
      </c>
      <c r="J22" s="253">
        <f t="shared" si="2"/>
        <v>0</v>
      </c>
      <c r="K22" s="253">
        <f t="shared" si="2"/>
        <v>0</v>
      </c>
      <c r="L22" s="253">
        <f t="shared" si="2"/>
        <v>0</v>
      </c>
      <c r="M22" s="253">
        <f t="shared" si="2"/>
        <v>0</v>
      </c>
      <c r="N22" s="253">
        <f t="shared" si="2"/>
        <v>0</v>
      </c>
      <c r="O22" s="253">
        <f t="shared" si="2"/>
        <v>0</v>
      </c>
      <c r="P22" s="253">
        <f t="shared" si="2"/>
        <v>0</v>
      </c>
      <c r="Q22" s="253">
        <f t="shared" si="2"/>
        <v>0</v>
      </c>
      <c r="R22" s="253">
        <f t="shared" si="2"/>
        <v>0</v>
      </c>
      <c r="S22" s="253">
        <f t="shared" si="2"/>
        <v>0</v>
      </c>
      <c r="T22" s="253">
        <f t="shared" si="2"/>
        <v>0</v>
      </c>
      <c r="U22" s="253">
        <f t="shared" si="2"/>
        <v>0</v>
      </c>
      <c r="V22" s="417"/>
      <c r="W22" s="254">
        <f t="shared" si="2"/>
        <v>0</v>
      </c>
      <c r="X22" s="255">
        <f t="shared" si="2"/>
        <v>35270000</v>
      </c>
      <c r="Y22" s="145"/>
    </row>
    <row r="23" spans="1:25" ht="14.25" thickTop="1" thickBot="1" x14ac:dyDescent="0.25">
      <c r="B23" s="570" t="s">
        <v>387</v>
      </c>
      <c r="C23" s="571"/>
      <c r="D23" s="571"/>
      <c r="E23" s="571"/>
      <c r="F23" s="572"/>
      <c r="G23" s="572"/>
      <c r="H23" s="572"/>
      <c r="I23" s="572"/>
      <c r="J23" s="572"/>
      <c r="K23" s="572"/>
      <c r="L23" s="572"/>
      <c r="M23" s="572"/>
      <c r="N23" s="572"/>
      <c r="O23" s="572"/>
      <c r="P23" s="572"/>
      <c r="Q23" s="572"/>
      <c r="R23" s="572"/>
      <c r="S23" s="572"/>
      <c r="T23" s="572"/>
      <c r="U23" s="572"/>
      <c r="V23" s="572"/>
      <c r="W23" s="572"/>
      <c r="X23" s="573"/>
      <c r="Y23" s="145"/>
    </row>
    <row r="24" spans="1:25" x14ac:dyDescent="0.2">
      <c r="B24" s="539" t="s">
        <v>388</v>
      </c>
      <c r="C24" s="540"/>
      <c r="D24" s="256">
        <v>10</v>
      </c>
      <c r="E24" s="257" t="s">
        <v>389</v>
      </c>
      <c r="F24" s="258"/>
      <c r="G24" s="259"/>
      <c r="H24" s="259">
        <v>500000</v>
      </c>
      <c r="I24" s="259">
        <v>1000000</v>
      </c>
      <c r="J24" s="259">
        <v>1000000</v>
      </c>
      <c r="K24" s="259">
        <v>500000</v>
      </c>
      <c r="L24" s="259">
        <v>500000</v>
      </c>
      <c r="M24" s="259"/>
      <c r="N24" s="259"/>
      <c r="O24" s="259"/>
      <c r="P24" s="260"/>
      <c r="Q24" s="260"/>
      <c r="R24" s="260"/>
      <c r="S24" s="260"/>
      <c r="T24" s="260"/>
      <c r="U24" s="260"/>
      <c r="V24" s="260"/>
      <c r="W24" s="261"/>
      <c r="X24" s="262">
        <f>SUM(F24:W24)</f>
        <v>3500000</v>
      </c>
      <c r="Y24" s="145"/>
    </row>
    <row r="25" spans="1:25" ht="38.25" x14ac:dyDescent="0.2">
      <c r="B25" s="263" t="s">
        <v>390</v>
      </c>
      <c r="C25" s="264">
        <f>'Area Summary'!C28*1.4*1000000</f>
        <v>0</v>
      </c>
      <c r="D25" s="265">
        <v>37</v>
      </c>
      <c r="E25" s="257" t="s">
        <v>391</v>
      </c>
      <c r="F25" s="258"/>
      <c r="G25" s="259"/>
      <c r="H25" s="259">
        <v>1000000</v>
      </c>
      <c r="I25" s="259">
        <v>1000000</v>
      </c>
      <c r="J25" s="259">
        <v>1000000</v>
      </c>
      <c r="K25" s="259">
        <v>500000</v>
      </c>
      <c r="L25" s="259"/>
      <c r="M25" s="259"/>
      <c r="N25" s="266"/>
      <c r="O25" s="266"/>
      <c r="P25" s="267"/>
      <c r="Q25" s="267"/>
      <c r="R25" s="267"/>
      <c r="S25" s="267"/>
      <c r="T25" s="267"/>
      <c r="U25" s="267"/>
      <c r="V25" s="267"/>
      <c r="W25" s="268"/>
      <c r="X25" s="262">
        <f t="shared" ref="X25:X41" si="3">SUM(F25:W25)</f>
        <v>3500000</v>
      </c>
      <c r="Y25" s="145"/>
    </row>
    <row r="26" spans="1:25" ht="25.5" x14ac:dyDescent="0.2">
      <c r="B26" s="269" t="s">
        <v>378</v>
      </c>
      <c r="C26" s="416">
        <f>MP_new!H5+MP_new!I5</f>
        <v>0</v>
      </c>
      <c r="D26" s="270">
        <v>30</v>
      </c>
      <c r="E26" s="271" t="s">
        <v>377</v>
      </c>
      <c r="F26" s="272"/>
      <c r="G26" s="266"/>
      <c r="H26" s="273"/>
      <c r="I26" s="266"/>
      <c r="J26" s="266">
        <f>$C25*0.1</f>
        <v>0</v>
      </c>
      <c r="K26" s="266">
        <f>$C25*0.65</f>
        <v>0</v>
      </c>
      <c r="L26" s="266">
        <f>$C25*0.25</f>
        <v>0</v>
      </c>
      <c r="M26" s="266"/>
      <c r="N26" s="266"/>
      <c r="O26" s="266"/>
      <c r="P26" s="267"/>
      <c r="Q26" s="267"/>
      <c r="R26" s="267"/>
      <c r="S26" s="267"/>
      <c r="T26" s="267"/>
      <c r="U26" s="267"/>
      <c r="V26" s="267"/>
      <c r="W26" s="268"/>
      <c r="X26" s="262">
        <f>SUM(F26:W26)</f>
        <v>0</v>
      </c>
      <c r="Y26" s="145"/>
    </row>
    <row r="27" spans="1:25" x14ac:dyDescent="0.2">
      <c r="B27" s="274" t="s">
        <v>383</v>
      </c>
      <c r="C27" s="274"/>
      <c r="D27" s="270">
        <v>37</v>
      </c>
      <c r="E27" s="275" t="s">
        <v>379</v>
      </c>
      <c r="F27" s="272"/>
      <c r="G27" s="266"/>
      <c r="H27" s="266"/>
      <c r="I27" s="266">
        <f>$C25*0.01</f>
        <v>0</v>
      </c>
      <c r="J27" s="266">
        <f>$C25*0.01</f>
        <v>0</v>
      </c>
      <c r="K27" s="266">
        <f>$C25*0.01</f>
        <v>0</v>
      </c>
      <c r="L27" s="266">
        <f>$C25*0.01</f>
        <v>0</v>
      </c>
      <c r="M27" s="266"/>
      <c r="N27" s="266"/>
      <c r="O27" s="266"/>
      <c r="P27" s="267"/>
      <c r="Q27" s="267"/>
      <c r="R27" s="267"/>
      <c r="S27" s="267"/>
      <c r="T27" s="267"/>
      <c r="U27" s="267"/>
      <c r="V27" s="267"/>
      <c r="W27" s="268"/>
      <c r="X27" s="262">
        <f t="shared" si="3"/>
        <v>0</v>
      </c>
      <c r="Y27" s="145"/>
    </row>
    <row r="28" spans="1:25" ht="51" x14ac:dyDescent="0.2">
      <c r="B28" s="276"/>
      <c r="C28" s="276"/>
      <c r="D28" s="277">
        <v>37</v>
      </c>
      <c r="E28" s="271" t="s">
        <v>380</v>
      </c>
      <c r="F28" s="272"/>
      <c r="G28" s="266"/>
      <c r="H28" s="273"/>
      <c r="I28" s="266"/>
      <c r="J28" s="266">
        <f>$C25*0.02</f>
        <v>0</v>
      </c>
      <c r="K28" s="266">
        <f>$C25*0.02</f>
        <v>0</v>
      </c>
      <c r="L28" s="266">
        <f>$C25*0.02</f>
        <v>0</v>
      </c>
      <c r="M28" s="266"/>
      <c r="N28" s="278"/>
      <c r="O28" s="278"/>
      <c r="P28" s="279"/>
      <c r="Q28" s="279"/>
      <c r="R28" s="279"/>
      <c r="S28" s="279"/>
      <c r="T28" s="279"/>
      <c r="U28" s="279"/>
      <c r="V28" s="279"/>
      <c r="W28" s="280"/>
      <c r="X28" s="262">
        <f t="shared" si="3"/>
        <v>0</v>
      </c>
      <c r="Y28" s="145"/>
    </row>
    <row r="29" spans="1:25" ht="26.25" thickBot="1" x14ac:dyDescent="0.25">
      <c r="B29" s="281"/>
      <c r="C29" s="281"/>
      <c r="D29" s="282">
        <v>41</v>
      </c>
      <c r="E29" s="283" t="s">
        <v>392</v>
      </c>
      <c r="F29" s="284"/>
      <c r="G29" s="285"/>
      <c r="H29" s="286"/>
      <c r="I29" s="285">
        <v>300000</v>
      </c>
      <c r="J29" s="285">
        <v>1000000</v>
      </c>
      <c r="K29" s="285">
        <v>1000000</v>
      </c>
      <c r="L29" s="285">
        <v>1000000</v>
      </c>
      <c r="M29" s="285"/>
      <c r="N29" s="285"/>
      <c r="O29" s="285"/>
      <c r="P29" s="287"/>
      <c r="Q29" s="287"/>
      <c r="R29" s="287"/>
      <c r="S29" s="287"/>
      <c r="T29" s="287"/>
      <c r="U29" s="287"/>
      <c r="V29" s="287"/>
      <c r="W29" s="288"/>
      <c r="X29" s="289">
        <f t="shared" si="3"/>
        <v>3300000</v>
      </c>
      <c r="Y29" s="290">
        <f>SUM(X24:X29)</f>
        <v>10300000</v>
      </c>
    </row>
    <row r="30" spans="1:25" s="521" customFormat="1" ht="48.75" customHeight="1" thickBot="1" x14ac:dyDescent="0.25">
      <c r="A30" s="135"/>
      <c r="B30" s="522" t="s">
        <v>653</v>
      </c>
      <c r="C30" s="523"/>
      <c r="D30" s="524"/>
      <c r="E30" s="525"/>
      <c r="F30" s="526"/>
      <c r="G30" s="527"/>
      <c r="H30" s="528"/>
      <c r="I30" s="527"/>
      <c r="J30" s="527"/>
      <c r="K30" s="527"/>
      <c r="L30" s="527"/>
      <c r="M30" s="527"/>
      <c r="N30" s="527"/>
      <c r="O30" s="527"/>
      <c r="P30" s="529"/>
      <c r="Q30" s="529"/>
      <c r="R30" s="529"/>
      <c r="S30" s="529"/>
      <c r="T30" s="529"/>
      <c r="U30" s="529"/>
      <c r="V30" s="529"/>
      <c r="W30" s="530"/>
      <c r="X30" s="531"/>
      <c r="Y30" s="290"/>
    </row>
    <row r="31" spans="1:25" x14ac:dyDescent="0.2">
      <c r="B31" s="539" t="s">
        <v>393</v>
      </c>
      <c r="C31" s="540"/>
      <c r="D31" s="265">
        <v>10</v>
      </c>
      <c r="E31" s="257" t="s">
        <v>389</v>
      </c>
      <c r="F31" s="258"/>
      <c r="G31" s="259"/>
      <c r="H31" s="259"/>
      <c r="I31" s="259"/>
      <c r="J31" s="259"/>
      <c r="K31" s="259">
        <v>500000</v>
      </c>
      <c r="L31" s="259">
        <v>1000000</v>
      </c>
      <c r="M31" s="259">
        <v>1000000</v>
      </c>
      <c r="N31" s="259">
        <v>500000</v>
      </c>
      <c r="O31" s="259">
        <v>500000</v>
      </c>
      <c r="P31" s="259"/>
      <c r="Q31" s="260"/>
      <c r="R31" s="260"/>
      <c r="S31" s="260"/>
      <c r="T31" s="260"/>
      <c r="U31" s="260"/>
      <c r="V31" s="260"/>
      <c r="W31" s="261"/>
      <c r="X31" s="262">
        <f t="shared" si="3"/>
        <v>3500000</v>
      </c>
      <c r="Y31" s="145"/>
    </row>
    <row r="32" spans="1:25" ht="38.25" x14ac:dyDescent="0.2">
      <c r="B32" s="263" t="s">
        <v>390</v>
      </c>
      <c r="C32" s="264">
        <f>'Area Summary'!D28*1.4*1000000</f>
        <v>0</v>
      </c>
      <c r="D32" s="265">
        <v>37</v>
      </c>
      <c r="E32" s="257" t="s">
        <v>391</v>
      </c>
      <c r="F32" s="258"/>
      <c r="G32" s="259"/>
      <c r="H32" s="259"/>
      <c r="I32" s="259"/>
      <c r="J32" s="259"/>
      <c r="K32" s="259">
        <v>1000000</v>
      </c>
      <c r="L32" s="259">
        <v>1000000</v>
      </c>
      <c r="M32" s="259">
        <v>1000000</v>
      </c>
      <c r="N32" s="259">
        <v>500000</v>
      </c>
      <c r="O32" s="259"/>
      <c r="P32" s="266"/>
      <c r="Q32" s="267"/>
      <c r="R32" s="267"/>
      <c r="S32" s="267"/>
      <c r="T32" s="267"/>
      <c r="U32" s="267"/>
      <c r="V32" s="267"/>
      <c r="W32" s="268"/>
      <c r="X32" s="291">
        <f t="shared" si="3"/>
        <v>3500000</v>
      </c>
      <c r="Y32" s="145"/>
    </row>
    <row r="33" spans="2:25" ht="25.5" x14ac:dyDescent="0.2">
      <c r="B33" s="269" t="s">
        <v>394</v>
      </c>
      <c r="C33" s="416">
        <f>MP_new!H6+MP_new!I6</f>
        <v>0</v>
      </c>
      <c r="D33" s="270">
        <v>30</v>
      </c>
      <c r="E33" s="271" t="s">
        <v>377</v>
      </c>
      <c r="F33" s="272"/>
      <c r="G33" s="266"/>
      <c r="H33" s="292"/>
      <c r="I33" s="266"/>
      <c r="J33" s="273"/>
      <c r="K33" s="273"/>
      <c r="L33" s="266"/>
      <c r="M33" s="266">
        <f>$C32*0.25</f>
        <v>0</v>
      </c>
      <c r="N33" s="266">
        <f>$C32*0.5</f>
        <v>0</v>
      </c>
      <c r="O33" s="266">
        <f>$C32*0.25</f>
        <v>0</v>
      </c>
      <c r="P33" s="266"/>
      <c r="Q33" s="267"/>
      <c r="R33" s="267"/>
      <c r="S33" s="267"/>
      <c r="T33" s="267"/>
      <c r="U33" s="267"/>
      <c r="V33" s="267"/>
      <c r="W33" s="268"/>
      <c r="X33" s="291">
        <f t="shared" si="3"/>
        <v>0</v>
      </c>
      <c r="Y33" s="145"/>
    </row>
    <row r="34" spans="2:25" x14ac:dyDescent="0.2">
      <c r="B34" s="274" t="s">
        <v>383</v>
      </c>
      <c r="C34" s="274"/>
      <c r="D34" s="270">
        <v>37</v>
      </c>
      <c r="E34" s="275" t="s">
        <v>379</v>
      </c>
      <c r="F34" s="272"/>
      <c r="G34" s="266"/>
      <c r="H34" s="292"/>
      <c r="I34" s="266"/>
      <c r="J34" s="266"/>
      <c r="K34" s="266"/>
      <c r="L34" s="266">
        <f>$C32*0.01</f>
        <v>0</v>
      </c>
      <c r="M34" s="266">
        <f>$C32*0.01</f>
        <v>0</v>
      </c>
      <c r="N34" s="266">
        <f>$C32*0.01</f>
        <v>0</v>
      </c>
      <c r="O34" s="266">
        <f>$C32*0.01</f>
        <v>0</v>
      </c>
      <c r="P34" s="266"/>
      <c r="Q34" s="267"/>
      <c r="R34" s="267"/>
      <c r="S34" s="267"/>
      <c r="T34" s="267"/>
      <c r="U34" s="267"/>
      <c r="V34" s="267"/>
      <c r="W34" s="268"/>
      <c r="X34" s="291">
        <f t="shared" si="3"/>
        <v>0</v>
      </c>
      <c r="Y34" s="145"/>
    </row>
    <row r="35" spans="2:25" ht="51" x14ac:dyDescent="0.2">
      <c r="B35" s="276"/>
      <c r="C35" s="276"/>
      <c r="D35" s="277">
        <v>37</v>
      </c>
      <c r="E35" s="271" t="s">
        <v>380</v>
      </c>
      <c r="F35" s="272"/>
      <c r="G35" s="266"/>
      <c r="H35" s="292"/>
      <c r="I35" s="266"/>
      <c r="J35" s="273"/>
      <c r="K35" s="273"/>
      <c r="L35" s="266"/>
      <c r="M35" s="266">
        <f>$C32*0.02</f>
        <v>0</v>
      </c>
      <c r="N35" s="266">
        <f>$C32*0.02</f>
        <v>0</v>
      </c>
      <c r="O35" s="266">
        <f>$C32*0.02</f>
        <v>0</v>
      </c>
      <c r="P35" s="278"/>
      <c r="Q35" s="279"/>
      <c r="R35" s="279"/>
      <c r="S35" s="279"/>
      <c r="T35" s="279"/>
      <c r="U35" s="279"/>
      <c r="V35" s="279"/>
      <c r="W35" s="280"/>
      <c r="X35" s="291">
        <f t="shared" si="3"/>
        <v>0</v>
      </c>
      <c r="Y35" s="145"/>
    </row>
    <row r="36" spans="2:25" ht="13.5" thickBot="1" x14ac:dyDescent="0.25">
      <c r="B36" s="281"/>
      <c r="C36" s="281"/>
      <c r="D36" s="282">
        <v>41</v>
      </c>
      <c r="E36" s="283" t="s">
        <v>384</v>
      </c>
      <c r="F36" s="284"/>
      <c r="G36" s="285"/>
      <c r="H36" s="286"/>
      <c r="I36" s="285"/>
      <c r="J36" s="286"/>
      <c r="K36" s="286"/>
      <c r="L36" s="285">
        <v>300000</v>
      </c>
      <c r="M36" s="285">
        <v>1000000</v>
      </c>
      <c r="N36" s="285">
        <v>1000000</v>
      </c>
      <c r="O36" s="285">
        <v>1000000</v>
      </c>
      <c r="P36" s="285"/>
      <c r="Q36" s="287"/>
      <c r="R36" s="287"/>
      <c r="S36" s="287"/>
      <c r="T36" s="287"/>
      <c r="U36" s="287"/>
      <c r="V36" s="287"/>
      <c r="W36" s="288"/>
      <c r="X36" s="289">
        <f t="shared" si="3"/>
        <v>3300000</v>
      </c>
      <c r="Y36" s="290">
        <f>SUM(X31:X36)</f>
        <v>10300000</v>
      </c>
    </row>
    <row r="37" spans="2:25" x14ac:dyDescent="0.2">
      <c r="B37" s="539" t="s">
        <v>395</v>
      </c>
      <c r="C37" s="540"/>
      <c r="D37" s="256">
        <v>10</v>
      </c>
      <c r="E37" s="257" t="s">
        <v>389</v>
      </c>
      <c r="F37" s="258"/>
      <c r="G37" s="259"/>
      <c r="H37" s="259"/>
      <c r="I37" s="259"/>
      <c r="J37" s="259"/>
      <c r="K37" s="259"/>
      <c r="L37" s="259"/>
      <c r="M37" s="259"/>
      <c r="N37" s="259">
        <v>500000</v>
      </c>
      <c r="O37" s="259">
        <v>1000000</v>
      </c>
      <c r="P37" s="259">
        <v>1000000</v>
      </c>
      <c r="Q37" s="259">
        <v>500000</v>
      </c>
      <c r="R37" s="259">
        <v>500000</v>
      </c>
      <c r="S37" s="260"/>
      <c r="T37" s="260"/>
      <c r="U37" s="260"/>
      <c r="V37" s="260"/>
      <c r="W37" s="261"/>
      <c r="X37" s="262">
        <f t="shared" si="3"/>
        <v>3500000</v>
      </c>
      <c r="Y37" s="145"/>
    </row>
    <row r="38" spans="2:25" ht="38.25" x14ac:dyDescent="0.2">
      <c r="B38" s="263" t="s">
        <v>390</v>
      </c>
      <c r="C38" s="264">
        <f>'Area Summary'!E28*1.4*1000000</f>
        <v>0</v>
      </c>
      <c r="D38" s="265">
        <v>37</v>
      </c>
      <c r="E38" s="257" t="s">
        <v>391</v>
      </c>
      <c r="F38" s="258"/>
      <c r="G38" s="259"/>
      <c r="H38" s="259"/>
      <c r="I38" s="259"/>
      <c r="J38" s="259"/>
      <c r="K38" s="259"/>
      <c r="L38" s="259"/>
      <c r="M38" s="259"/>
      <c r="N38" s="259">
        <v>1000000</v>
      </c>
      <c r="O38" s="259">
        <v>1000000</v>
      </c>
      <c r="P38" s="259">
        <v>1000000</v>
      </c>
      <c r="Q38" s="259">
        <v>500000</v>
      </c>
      <c r="R38" s="259"/>
      <c r="S38" s="267"/>
      <c r="T38" s="267"/>
      <c r="U38" s="267"/>
      <c r="V38" s="267"/>
      <c r="W38" s="268"/>
      <c r="X38" s="291">
        <f t="shared" si="3"/>
        <v>3500000</v>
      </c>
      <c r="Y38" s="145"/>
    </row>
    <row r="39" spans="2:25" ht="25.5" x14ac:dyDescent="0.2">
      <c r="B39" s="269" t="s">
        <v>394</v>
      </c>
      <c r="C39" s="416">
        <f>MP_new!H7+MP_new!I7</f>
        <v>0</v>
      </c>
      <c r="D39" s="270">
        <v>30</v>
      </c>
      <c r="E39" s="271" t="s">
        <v>377</v>
      </c>
      <c r="F39" s="272"/>
      <c r="G39" s="266"/>
      <c r="H39" s="292"/>
      <c r="I39" s="266"/>
      <c r="J39" s="273"/>
      <c r="K39" s="266"/>
      <c r="L39" s="273"/>
      <c r="M39" s="266"/>
      <c r="N39" s="273"/>
      <c r="O39" s="266"/>
      <c r="P39" s="266">
        <f>$C38*0.25</f>
        <v>0</v>
      </c>
      <c r="Q39" s="266">
        <f>$C38*0.5</f>
        <v>0</v>
      </c>
      <c r="R39" s="266">
        <f>$C38*0.25</f>
        <v>0</v>
      </c>
      <c r="S39" s="267"/>
      <c r="T39" s="267"/>
      <c r="U39" s="267"/>
      <c r="V39" s="267"/>
      <c r="W39" s="268"/>
      <c r="X39" s="291">
        <f t="shared" si="3"/>
        <v>0</v>
      </c>
      <c r="Y39" s="145"/>
    </row>
    <row r="40" spans="2:25" x14ac:dyDescent="0.2">
      <c r="B40" s="274" t="s">
        <v>383</v>
      </c>
      <c r="C40" s="274"/>
      <c r="D40" s="270">
        <v>37</v>
      </c>
      <c r="E40" s="275" t="s">
        <v>379</v>
      </c>
      <c r="F40" s="272"/>
      <c r="G40" s="266"/>
      <c r="H40" s="292"/>
      <c r="I40" s="266"/>
      <c r="J40" s="266"/>
      <c r="K40" s="266"/>
      <c r="L40" s="266"/>
      <c r="M40" s="266"/>
      <c r="N40" s="266"/>
      <c r="O40" s="266">
        <f>$C38*0.01</f>
        <v>0</v>
      </c>
      <c r="P40" s="266">
        <f>$C38*0.01</f>
        <v>0</v>
      </c>
      <c r="Q40" s="266">
        <f>$C38*0.01</f>
        <v>0</v>
      </c>
      <c r="R40" s="266">
        <f>$C38*0.01</f>
        <v>0</v>
      </c>
      <c r="S40" s="266"/>
      <c r="T40" s="267"/>
      <c r="U40" s="267"/>
      <c r="V40" s="267"/>
      <c r="W40" s="268"/>
      <c r="X40" s="291">
        <f t="shared" si="3"/>
        <v>0</v>
      </c>
      <c r="Y40" s="145"/>
    </row>
    <row r="41" spans="2:25" ht="51" x14ac:dyDescent="0.2">
      <c r="B41" s="276"/>
      <c r="C41" s="276"/>
      <c r="D41" s="277">
        <v>37</v>
      </c>
      <c r="E41" s="271" t="s">
        <v>380</v>
      </c>
      <c r="F41" s="272"/>
      <c r="G41" s="266"/>
      <c r="H41" s="292"/>
      <c r="I41" s="266"/>
      <c r="J41" s="273"/>
      <c r="K41" s="266"/>
      <c r="L41" s="273"/>
      <c r="M41" s="266"/>
      <c r="N41" s="273"/>
      <c r="O41" s="266"/>
      <c r="P41" s="266">
        <f>$C38*0.02</f>
        <v>0</v>
      </c>
      <c r="Q41" s="266">
        <f>$C38*0.02</f>
        <v>0</v>
      </c>
      <c r="R41" s="266">
        <f>$C38*0.02</f>
        <v>0</v>
      </c>
      <c r="S41" s="279"/>
      <c r="T41" s="279"/>
      <c r="U41" s="279"/>
      <c r="V41" s="279"/>
      <c r="W41" s="280"/>
      <c r="X41" s="291">
        <f t="shared" si="3"/>
        <v>0</v>
      </c>
      <c r="Y41" s="145"/>
    </row>
    <row r="42" spans="2:25" ht="13.5" thickBot="1" x14ac:dyDescent="0.25">
      <c r="B42" s="281"/>
      <c r="C42" s="281"/>
      <c r="D42" s="282">
        <v>41</v>
      </c>
      <c r="E42" s="283" t="s">
        <v>384</v>
      </c>
      <c r="F42" s="284"/>
      <c r="G42" s="285"/>
      <c r="H42" s="286"/>
      <c r="I42" s="285"/>
      <c r="J42" s="286"/>
      <c r="K42" s="285"/>
      <c r="L42" s="286"/>
      <c r="M42" s="285"/>
      <c r="N42" s="286"/>
      <c r="O42" s="285">
        <v>300000</v>
      </c>
      <c r="P42" s="285">
        <v>1000000</v>
      </c>
      <c r="Q42" s="285">
        <v>1000000</v>
      </c>
      <c r="R42" s="285">
        <v>1000000</v>
      </c>
      <c r="S42" s="287"/>
      <c r="T42" s="287"/>
      <c r="U42" s="287"/>
      <c r="V42" s="287"/>
      <c r="W42" s="288"/>
      <c r="X42" s="289">
        <f t="shared" ref="X42:X52" si="4">SUM(F42:W42)</f>
        <v>3300000</v>
      </c>
      <c r="Y42" s="290">
        <f>SUM(X37:X42)</f>
        <v>10300000</v>
      </c>
    </row>
    <row r="43" spans="2:25" x14ac:dyDescent="0.2">
      <c r="B43" s="539" t="s">
        <v>396</v>
      </c>
      <c r="C43" s="540"/>
      <c r="D43" s="256">
        <v>10</v>
      </c>
      <c r="E43" s="257" t="s">
        <v>389</v>
      </c>
      <c r="F43" s="258"/>
      <c r="G43" s="259"/>
      <c r="H43" s="259"/>
      <c r="I43" s="259"/>
      <c r="J43" s="259"/>
      <c r="K43" s="259"/>
      <c r="L43" s="259"/>
      <c r="M43" s="259"/>
      <c r="N43" s="259"/>
      <c r="O43" s="259"/>
      <c r="P43" s="259"/>
      <c r="Q43" s="259">
        <v>500000</v>
      </c>
      <c r="R43" s="259">
        <v>1000000</v>
      </c>
      <c r="S43" s="259">
        <v>1000000</v>
      </c>
      <c r="T43" s="259">
        <v>500000</v>
      </c>
      <c r="U43" s="259">
        <v>500000</v>
      </c>
      <c r="V43" s="260"/>
      <c r="W43" s="261"/>
      <c r="X43" s="262">
        <f t="shared" si="4"/>
        <v>3500000</v>
      </c>
      <c r="Y43" s="145"/>
    </row>
    <row r="44" spans="2:25" ht="38.25" x14ac:dyDescent="0.2">
      <c r="B44" s="263" t="s">
        <v>390</v>
      </c>
      <c r="C44" s="264">
        <f>'Area Summary'!F28*1.4*1000000</f>
        <v>0</v>
      </c>
      <c r="D44" s="265">
        <v>37</v>
      </c>
      <c r="E44" s="257" t="s">
        <v>391</v>
      </c>
      <c r="F44" s="258"/>
      <c r="G44" s="259"/>
      <c r="H44" s="259"/>
      <c r="I44" s="259"/>
      <c r="J44" s="259"/>
      <c r="K44" s="259"/>
      <c r="L44" s="259"/>
      <c r="M44" s="259"/>
      <c r="N44" s="259"/>
      <c r="O44" s="259"/>
      <c r="P44" s="259"/>
      <c r="Q44" s="259">
        <v>1000000</v>
      </c>
      <c r="R44" s="259">
        <v>1000000</v>
      </c>
      <c r="S44" s="259">
        <v>1000000</v>
      </c>
      <c r="T44" s="259">
        <v>500000</v>
      </c>
      <c r="U44" s="259"/>
      <c r="V44" s="260"/>
      <c r="W44" s="268"/>
      <c r="X44" s="291">
        <f t="shared" si="4"/>
        <v>3500000</v>
      </c>
      <c r="Y44" s="145"/>
    </row>
    <row r="45" spans="2:25" ht="25.5" x14ac:dyDescent="0.2">
      <c r="B45" s="269" t="s">
        <v>394</v>
      </c>
      <c r="C45" s="416">
        <f>MP_new!H8+MP_new!I8</f>
        <v>0</v>
      </c>
      <c r="D45" s="270">
        <v>30</v>
      </c>
      <c r="E45" s="271" t="s">
        <v>377</v>
      </c>
      <c r="F45" s="272"/>
      <c r="G45" s="266"/>
      <c r="H45" s="292"/>
      <c r="I45" s="266"/>
      <c r="J45" s="273"/>
      <c r="K45" s="266"/>
      <c r="L45" s="266"/>
      <c r="M45" s="266"/>
      <c r="N45" s="273"/>
      <c r="O45" s="266"/>
      <c r="P45" s="266"/>
      <c r="Q45" s="273"/>
      <c r="R45" s="266"/>
      <c r="S45" s="266">
        <f>$C44*0.25</f>
        <v>0</v>
      </c>
      <c r="T45" s="266">
        <f>$C44*0.5</f>
        <v>0</v>
      </c>
      <c r="U45" s="266">
        <f>$C44*0.25</f>
        <v>0</v>
      </c>
      <c r="V45" s="267"/>
      <c r="W45" s="268"/>
      <c r="X45" s="291">
        <f t="shared" si="4"/>
        <v>0</v>
      </c>
      <c r="Y45" s="145"/>
    </row>
    <row r="46" spans="2:25" x14ac:dyDescent="0.2">
      <c r="B46" s="274" t="s">
        <v>383</v>
      </c>
      <c r="C46" s="274"/>
      <c r="D46" s="270">
        <v>37</v>
      </c>
      <c r="E46" s="275" t="s">
        <v>379</v>
      </c>
      <c r="F46" s="272"/>
      <c r="G46" s="266"/>
      <c r="H46" s="292"/>
      <c r="I46" s="266"/>
      <c r="J46" s="266"/>
      <c r="K46" s="266"/>
      <c r="L46" s="266"/>
      <c r="M46" s="266"/>
      <c r="N46" s="266"/>
      <c r="O46" s="266"/>
      <c r="P46" s="266"/>
      <c r="Q46" s="266"/>
      <c r="R46" s="266">
        <f>$C44*0.01</f>
        <v>0</v>
      </c>
      <c r="S46" s="266">
        <f>$C44*0.01</f>
        <v>0</v>
      </c>
      <c r="T46" s="266">
        <f>$C44*0.01</f>
        <v>0</v>
      </c>
      <c r="U46" s="266">
        <f>$C44*0.01</f>
        <v>0</v>
      </c>
      <c r="V46" s="266"/>
      <c r="W46" s="268"/>
      <c r="X46" s="291">
        <f t="shared" si="4"/>
        <v>0</v>
      </c>
      <c r="Y46" s="145"/>
    </row>
    <row r="47" spans="2:25" ht="51" x14ac:dyDescent="0.2">
      <c r="B47" s="276"/>
      <c r="C47" s="276"/>
      <c r="D47" s="277">
        <v>37</v>
      </c>
      <c r="E47" s="271" t="s">
        <v>380</v>
      </c>
      <c r="F47" s="272"/>
      <c r="G47" s="266"/>
      <c r="H47" s="292"/>
      <c r="I47" s="266"/>
      <c r="J47" s="273"/>
      <c r="K47" s="266"/>
      <c r="L47" s="266"/>
      <c r="M47" s="266"/>
      <c r="N47" s="273"/>
      <c r="O47" s="266"/>
      <c r="P47" s="266"/>
      <c r="Q47" s="273"/>
      <c r="R47" s="266"/>
      <c r="S47" s="266">
        <f>$C44*0.02</f>
        <v>0</v>
      </c>
      <c r="T47" s="266">
        <f>$C44*0.02</f>
        <v>0</v>
      </c>
      <c r="U47" s="266">
        <f>$C44*0.02</f>
        <v>0</v>
      </c>
      <c r="V47" s="279"/>
      <c r="W47" s="280"/>
      <c r="X47" s="291">
        <f t="shared" si="4"/>
        <v>0</v>
      </c>
      <c r="Y47" s="145"/>
    </row>
    <row r="48" spans="2:25" ht="13.5" thickBot="1" x14ac:dyDescent="0.25">
      <c r="B48" s="281"/>
      <c r="C48" s="281"/>
      <c r="D48" s="282">
        <v>41</v>
      </c>
      <c r="E48" s="283" t="s">
        <v>384</v>
      </c>
      <c r="F48" s="284"/>
      <c r="G48" s="285"/>
      <c r="H48" s="286"/>
      <c r="I48" s="285"/>
      <c r="J48" s="286"/>
      <c r="K48" s="285"/>
      <c r="L48" s="285"/>
      <c r="M48" s="285"/>
      <c r="N48" s="286"/>
      <c r="O48" s="285"/>
      <c r="P48" s="285"/>
      <c r="Q48" s="286"/>
      <c r="R48" s="285">
        <v>300000</v>
      </c>
      <c r="S48" s="285">
        <v>1000000</v>
      </c>
      <c r="T48" s="285">
        <v>1000000</v>
      </c>
      <c r="U48" s="285">
        <v>1000000</v>
      </c>
      <c r="V48" s="287"/>
      <c r="W48" s="288"/>
      <c r="X48" s="289">
        <f t="shared" si="4"/>
        <v>3300000</v>
      </c>
      <c r="Y48" s="290">
        <f>SUM(X43:X48)</f>
        <v>10300000</v>
      </c>
    </row>
    <row r="49" spans="1:25" x14ac:dyDescent="0.2">
      <c r="B49" s="539" t="s">
        <v>397</v>
      </c>
      <c r="C49" s="540"/>
      <c r="D49" s="256">
        <v>10</v>
      </c>
      <c r="E49" s="257" t="s">
        <v>389</v>
      </c>
      <c r="F49" s="258"/>
      <c r="G49" s="259"/>
      <c r="H49" s="259"/>
      <c r="I49" s="259"/>
      <c r="J49" s="259"/>
      <c r="K49" s="259"/>
      <c r="L49" s="259"/>
      <c r="M49" s="259"/>
      <c r="N49" s="259"/>
      <c r="O49" s="259"/>
      <c r="P49" s="259"/>
      <c r="Q49" s="259"/>
      <c r="R49" s="259"/>
      <c r="S49" s="259">
        <v>500000</v>
      </c>
      <c r="T49" s="259">
        <v>1000000</v>
      </c>
      <c r="U49" s="259">
        <v>1000000</v>
      </c>
      <c r="V49" s="259">
        <v>500000</v>
      </c>
      <c r="W49" s="259">
        <v>500000</v>
      </c>
      <c r="X49" s="262">
        <f t="shared" si="4"/>
        <v>3500000</v>
      </c>
      <c r="Y49" s="145"/>
    </row>
    <row r="50" spans="1:25" ht="38.25" x14ac:dyDescent="0.2">
      <c r="B50" s="263" t="s">
        <v>390</v>
      </c>
      <c r="C50" s="264">
        <f>'Area Summary'!G28*1.4*1000000</f>
        <v>0</v>
      </c>
      <c r="D50" s="265">
        <v>37</v>
      </c>
      <c r="E50" s="257" t="s">
        <v>391</v>
      </c>
      <c r="F50" s="258"/>
      <c r="G50" s="259"/>
      <c r="H50" s="259"/>
      <c r="I50" s="259"/>
      <c r="J50" s="259"/>
      <c r="K50" s="259"/>
      <c r="L50" s="259"/>
      <c r="M50" s="259"/>
      <c r="N50" s="259"/>
      <c r="O50" s="259"/>
      <c r="P50" s="259"/>
      <c r="Q50" s="259"/>
      <c r="R50" s="259"/>
      <c r="S50" s="259">
        <v>1000000</v>
      </c>
      <c r="T50" s="259">
        <v>1000000</v>
      </c>
      <c r="U50" s="259">
        <v>1000000</v>
      </c>
      <c r="V50" s="259">
        <v>500000</v>
      </c>
      <c r="W50" s="259"/>
      <c r="X50" s="291">
        <f t="shared" si="4"/>
        <v>3500000</v>
      </c>
      <c r="Y50" s="145"/>
    </row>
    <row r="51" spans="1:25" ht="25.5" x14ac:dyDescent="0.2">
      <c r="B51" s="269" t="s">
        <v>394</v>
      </c>
      <c r="C51" s="416">
        <f>MP_new!H9+MP_new!I9</f>
        <v>0</v>
      </c>
      <c r="D51" s="270">
        <v>30</v>
      </c>
      <c r="E51" s="271" t="s">
        <v>377</v>
      </c>
      <c r="F51" s="272"/>
      <c r="G51" s="266"/>
      <c r="H51" s="292"/>
      <c r="I51" s="266"/>
      <c r="J51" s="273"/>
      <c r="K51" s="266"/>
      <c r="L51" s="266"/>
      <c r="M51" s="266"/>
      <c r="N51" s="266"/>
      <c r="O51" s="266"/>
      <c r="P51" s="273"/>
      <c r="Q51" s="266"/>
      <c r="R51" s="273"/>
      <c r="S51" s="273"/>
      <c r="T51" s="266"/>
      <c r="U51" s="266">
        <f>$C50*0.25</f>
        <v>0</v>
      </c>
      <c r="V51" s="266">
        <f>$C50*0.5</f>
        <v>0</v>
      </c>
      <c r="W51" s="266">
        <f>$C50*0.25</f>
        <v>0</v>
      </c>
      <c r="X51" s="291">
        <f t="shared" si="4"/>
        <v>0</v>
      </c>
      <c r="Y51" s="145"/>
    </row>
    <row r="52" spans="1:25" x14ac:dyDescent="0.2">
      <c r="B52" s="274" t="s">
        <v>383</v>
      </c>
      <c r="C52" s="274"/>
      <c r="D52" s="270">
        <v>37</v>
      </c>
      <c r="E52" s="275" t="s">
        <v>379</v>
      </c>
      <c r="F52" s="272"/>
      <c r="G52" s="266"/>
      <c r="H52" s="292"/>
      <c r="I52" s="266"/>
      <c r="J52" s="266"/>
      <c r="K52" s="266"/>
      <c r="L52" s="266"/>
      <c r="M52" s="266"/>
      <c r="N52" s="266"/>
      <c r="O52" s="266"/>
      <c r="P52" s="266"/>
      <c r="Q52" s="266"/>
      <c r="R52" s="266"/>
      <c r="S52" s="266"/>
      <c r="T52" s="266">
        <f>$C50*0.01</f>
        <v>0</v>
      </c>
      <c r="U52" s="266">
        <f>$C50*0.01</f>
        <v>0</v>
      </c>
      <c r="V52" s="266">
        <f>$C50*0.01</f>
        <v>0</v>
      </c>
      <c r="W52" s="266">
        <f>$C50*0.01</f>
        <v>0</v>
      </c>
      <c r="X52" s="291">
        <f t="shared" si="4"/>
        <v>0</v>
      </c>
      <c r="Y52" s="145"/>
    </row>
    <row r="53" spans="1:25" ht="51" x14ac:dyDescent="0.2">
      <c r="B53" s="276"/>
      <c r="C53" s="276"/>
      <c r="D53" s="277">
        <v>37</v>
      </c>
      <c r="E53" s="271" t="s">
        <v>380</v>
      </c>
      <c r="F53" s="272"/>
      <c r="G53" s="266"/>
      <c r="H53" s="292"/>
      <c r="I53" s="266"/>
      <c r="J53" s="273"/>
      <c r="K53" s="266"/>
      <c r="L53" s="266"/>
      <c r="M53" s="266"/>
      <c r="N53" s="266"/>
      <c r="O53" s="266"/>
      <c r="P53" s="273"/>
      <c r="Q53" s="266"/>
      <c r="R53" s="273"/>
      <c r="S53" s="273"/>
      <c r="T53" s="266"/>
      <c r="U53" s="266">
        <f>$C50*0.02</f>
        <v>0</v>
      </c>
      <c r="V53" s="266">
        <f>$C50*0.02</f>
        <v>0</v>
      </c>
      <c r="W53" s="266">
        <f>$C50*0.02</f>
        <v>0</v>
      </c>
      <c r="X53" s="291">
        <f>SUM(F53:W53)</f>
        <v>0</v>
      </c>
      <c r="Y53" s="145"/>
    </row>
    <row r="54" spans="1:25" ht="13.5" thickBot="1" x14ac:dyDescent="0.25">
      <c r="B54" s="281"/>
      <c r="C54" s="281"/>
      <c r="D54" s="282">
        <v>41</v>
      </c>
      <c r="E54" s="283" t="s">
        <v>384</v>
      </c>
      <c r="F54" s="293"/>
      <c r="G54" s="278"/>
      <c r="H54" s="294"/>
      <c r="I54" s="278"/>
      <c r="J54" s="294"/>
      <c r="K54" s="278"/>
      <c r="L54" s="278"/>
      <c r="M54" s="278"/>
      <c r="N54" s="278"/>
      <c r="O54" s="278"/>
      <c r="P54" s="294"/>
      <c r="Q54" s="278"/>
      <c r="R54" s="286"/>
      <c r="S54" s="286"/>
      <c r="T54" s="285">
        <v>300000</v>
      </c>
      <c r="U54" s="285">
        <v>1000000</v>
      </c>
      <c r="V54" s="285">
        <v>1000000</v>
      </c>
      <c r="W54" s="285">
        <v>1000000</v>
      </c>
      <c r="X54" s="289">
        <f>SUM(F54:W54)</f>
        <v>3300000</v>
      </c>
      <c r="Y54" s="290">
        <f>SUM(X49:X54)</f>
        <v>10300000</v>
      </c>
    </row>
    <row r="55" spans="1:25" ht="17.25" customHeight="1" thickBot="1" x14ac:dyDescent="0.25">
      <c r="B55" s="541" t="s">
        <v>381</v>
      </c>
      <c r="C55" s="542"/>
      <c r="D55" s="543"/>
      <c r="E55" s="295"/>
      <c r="F55" s="296">
        <f>SUM(F24:F54)</f>
        <v>0</v>
      </c>
      <c r="G55" s="297">
        <f>SUM(G24:G54)</f>
        <v>0</v>
      </c>
      <c r="H55" s="297">
        <f t="shared" ref="H55:V55" si="5">SUM(H24:H54)</f>
        <v>1500000</v>
      </c>
      <c r="I55" s="297">
        <f t="shared" si="5"/>
        <v>2300000</v>
      </c>
      <c r="J55" s="297">
        <f t="shared" si="5"/>
        <v>3000000</v>
      </c>
      <c r="K55" s="297">
        <f t="shared" si="5"/>
        <v>3500000</v>
      </c>
      <c r="L55" s="297">
        <f t="shared" si="5"/>
        <v>3800000</v>
      </c>
      <c r="M55" s="297">
        <f t="shared" si="5"/>
        <v>3000000</v>
      </c>
      <c r="N55" s="297">
        <f t="shared" si="5"/>
        <v>3500000</v>
      </c>
      <c r="O55" s="297">
        <f t="shared" si="5"/>
        <v>3800000</v>
      </c>
      <c r="P55" s="297">
        <f t="shared" si="5"/>
        <v>3000000</v>
      </c>
      <c r="Q55" s="297">
        <f t="shared" si="5"/>
        <v>3500000</v>
      </c>
      <c r="R55" s="297">
        <f t="shared" si="5"/>
        <v>3800000</v>
      </c>
      <c r="S55" s="297">
        <f t="shared" si="5"/>
        <v>4500000</v>
      </c>
      <c r="T55" s="297">
        <f t="shared" si="5"/>
        <v>4300000</v>
      </c>
      <c r="U55" s="297">
        <f t="shared" si="5"/>
        <v>4500000</v>
      </c>
      <c r="V55" s="297">
        <f t="shared" si="5"/>
        <v>2000000</v>
      </c>
      <c r="W55" s="297">
        <f>SUM(W24:W54)</f>
        <v>1500000</v>
      </c>
      <c r="X55" s="298">
        <f>SUM(X24:X54)</f>
        <v>51500000</v>
      </c>
      <c r="Y55" s="145"/>
    </row>
    <row r="56" spans="1:25" ht="14.25" thickTop="1" thickBot="1" x14ac:dyDescent="0.25">
      <c r="B56" s="541" t="s">
        <v>398</v>
      </c>
      <c r="C56" s="542"/>
      <c r="D56" s="543"/>
      <c r="E56" s="299"/>
      <c r="F56" s="300"/>
      <c r="G56" s="300">
        <f>F56+G55</f>
        <v>0</v>
      </c>
      <c r="H56" s="300">
        <f>G56+H55</f>
        <v>1500000</v>
      </c>
      <c r="I56" s="300">
        <f>H56+I55</f>
        <v>3800000</v>
      </c>
      <c r="J56" s="300">
        <f>I56+J55</f>
        <v>6800000</v>
      </c>
      <c r="K56" s="300">
        <f t="shared" ref="K56:U56" si="6">J56+K55</f>
        <v>10300000</v>
      </c>
      <c r="L56" s="300">
        <f>K56+L55</f>
        <v>14100000</v>
      </c>
      <c r="M56" s="300">
        <f t="shared" si="6"/>
        <v>17100000</v>
      </c>
      <c r="N56" s="300">
        <f t="shared" si="6"/>
        <v>20600000</v>
      </c>
      <c r="O56" s="300">
        <f t="shared" si="6"/>
        <v>24400000</v>
      </c>
      <c r="P56" s="300">
        <f t="shared" si="6"/>
        <v>27400000</v>
      </c>
      <c r="Q56" s="300">
        <f t="shared" si="6"/>
        <v>30900000</v>
      </c>
      <c r="R56" s="300">
        <f t="shared" si="6"/>
        <v>34700000</v>
      </c>
      <c r="S56" s="300">
        <f t="shared" si="6"/>
        <v>39200000</v>
      </c>
      <c r="T56" s="300">
        <f t="shared" si="6"/>
        <v>43500000</v>
      </c>
      <c r="U56" s="300">
        <f t="shared" si="6"/>
        <v>48000000</v>
      </c>
      <c r="V56" s="300">
        <f>U56+V55</f>
        <v>50000000</v>
      </c>
      <c r="W56" s="300">
        <f>V56+W55</f>
        <v>51500000</v>
      </c>
      <c r="X56" s="300"/>
      <c r="Y56" s="145">
        <f>SUM(Y24:Y54)</f>
        <v>51500000</v>
      </c>
    </row>
    <row r="57" spans="1:25" ht="13.5" thickTop="1" x14ac:dyDescent="0.2">
      <c r="B57" s="301"/>
      <c r="C57" s="301"/>
      <c r="D57" s="301"/>
      <c r="E57" s="299"/>
      <c r="F57" s="300"/>
      <c r="G57" s="302">
        <v>10</v>
      </c>
      <c r="H57" s="303">
        <f t="shared" ref="H57:Q57" si="7">SUMIF($D$24:$D$54,"10",H$24:H$54)</f>
        <v>500000</v>
      </c>
      <c r="I57" s="303">
        <f t="shared" si="7"/>
        <v>1000000</v>
      </c>
      <c r="J57" s="303">
        <f t="shared" si="7"/>
        <v>1000000</v>
      </c>
      <c r="K57" s="303">
        <f t="shared" si="7"/>
        <v>1000000</v>
      </c>
      <c r="L57" s="303">
        <f t="shared" si="7"/>
        <v>1500000</v>
      </c>
      <c r="M57" s="303">
        <f t="shared" si="7"/>
        <v>1000000</v>
      </c>
      <c r="N57" s="303">
        <f t="shared" si="7"/>
        <v>1000000</v>
      </c>
      <c r="O57" s="303">
        <f t="shared" si="7"/>
        <v>1500000</v>
      </c>
      <c r="P57" s="303">
        <f t="shared" si="7"/>
        <v>1000000</v>
      </c>
      <c r="Q57" s="303">
        <f t="shared" si="7"/>
        <v>1000000</v>
      </c>
      <c r="R57" s="303">
        <f t="shared" ref="R57:W57" si="8">SUMIF($D$24:$D$54,"10",R$24:R$54)</f>
        <v>1500000</v>
      </c>
      <c r="S57" s="303">
        <f t="shared" si="8"/>
        <v>1500000</v>
      </c>
      <c r="T57" s="303">
        <f t="shared" si="8"/>
        <v>1500000</v>
      </c>
      <c r="U57" s="303">
        <f t="shared" si="8"/>
        <v>1500000</v>
      </c>
      <c r="V57" s="303">
        <f t="shared" si="8"/>
        <v>500000</v>
      </c>
      <c r="W57" s="303">
        <f t="shared" si="8"/>
        <v>500000</v>
      </c>
      <c r="X57" s="300"/>
      <c r="Y57" s="145"/>
    </row>
    <row r="58" spans="1:25" s="304" customFormat="1" x14ac:dyDescent="0.2">
      <c r="A58" s="135"/>
      <c r="C58" s="305"/>
      <c r="D58" s="305"/>
      <c r="E58" s="305"/>
      <c r="F58" s="305"/>
      <c r="G58" s="302">
        <v>37</v>
      </c>
      <c r="H58" s="303">
        <f t="shared" ref="H58:W58" si="9">SUMIF($D$24:$D$54,"37",H$24:H$54)</f>
        <v>1000000</v>
      </c>
      <c r="I58" s="303">
        <f t="shared" si="9"/>
        <v>1000000</v>
      </c>
      <c r="J58" s="303">
        <f t="shared" si="9"/>
        <v>1000000</v>
      </c>
      <c r="K58" s="303">
        <f t="shared" si="9"/>
        <v>1500000</v>
      </c>
      <c r="L58" s="303">
        <f t="shared" si="9"/>
        <v>1000000</v>
      </c>
      <c r="M58" s="303">
        <f t="shared" si="9"/>
        <v>1000000</v>
      </c>
      <c r="N58" s="303">
        <f t="shared" si="9"/>
        <v>1500000</v>
      </c>
      <c r="O58" s="303">
        <f t="shared" si="9"/>
        <v>1000000</v>
      </c>
      <c r="P58" s="303">
        <f t="shared" si="9"/>
        <v>1000000</v>
      </c>
      <c r="Q58" s="303">
        <f t="shared" si="9"/>
        <v>1500000</v>
      </c>
      <c r="R58" s="303">
        <f t="shared" si="9"/>
        <v>1000000</v>
      </c>
      <c r="S58" s="303">
        <f t="shared" si="9"/>
        <v>2000000</v>
      </c>
      <c r="T58" s="303">
        <f t="shared" si="9"/>
        <v>1500000</v>
      </c>
      <c r="U58" s="303">
        <f t="shared" si="9"/>
        <v>1000000</v>
      </c>
      <c r="V58" s="303">
        <f t="shared" si="9"/>
        <v>500000</v>
      </c>
      <c r="W58" s="303">
        <f t="shared" si="9"/>
        <v>0</v>
      </c>
      <c r="X58" s="305"/>
    </row>
    <row r="59" spans="1:25" s="304" customFormat="1" x14ac:dyDescent="0.2">
      <c r="A59" s="135"/>
      <c r="C59" s="305"/>
      <c r="D59" s="305"/>
      <c r="E59" s="305"/>
      <c r="F59" s="305"/>
      <c r="G59" s="302">
        <v>30</v>
      </c>
      <c r="H59" s="303">
        <f t="shared" ref="H59:W59" si="10">SUMIF($D$24:$D$54,"30",H$24:H$54)</f>
        <v>0</v>
      </c>
      <c r="I59" s="303">
        <f t="shared" si="10"/>
        <v>0</v>
      </c>
      <c r="J59" s="303">
        <f t="shared" si="10"/>
        <v>0</v>
      </c>
      <c r="K59" s="303">
        <f t="shared" si="10"/>
        <v>0</v>
      </c>
      <c r="L59" s="303">
        <f t="shared" si="10"/>
        <v>0</v>
      </c>
      <c r="M59" s="303">
        <f t="shared" si="10"/>
        <v>0</v>
      </c>
      <c r="N59" s="303">
        <f t="shared" si="10"/>
        <v>0</v>
      </c>
      <c r="O59" s="303">
        <f t="shared" si="10"/>
        <v>0</v>
      </c>
      <c r="P59" s="303">
        <f t="shared" si="10"/>
        <v>0</v>
      </c>
      <c r="Q59" s="303">
        <f t="shared" si="10"/>
        <v>0</v>
      </c>
      <c r="R59" s="303">
        <f t="shared" si="10"/>
        <v>0</v>
      </c>
      <c r="S59" s="303">
        <f t="shared" si="10"/>
        <v>0</v>
      </c>
      <c r="T59" s="303">
        <f t="shared" si="10"/>
        <v>0</v>
      </c>
      <c r="U59" s="303">
        <f t="shared" si="10"/>
        <v>0</v>
      </c>
      <c r="V59" s="303">
        <f t="shared" si="10"/>
        <v>0</v>
      </c>
      <c r="W59" s="303">
        <f t="shared" si="10"/>
        <v>0</v>
      </c>
      <c r="X59" s="305"/>
    </row>
    <row r="60" spans="1:25" s="304" customFormat="1" x14ac:dyDescent="0.2">
      <c r="A60" s="135"/>
      <c r="C60" s="305"/>
      <c r="D60" s="305"/>
      <c r="E60" s="305"/>
      <c r="F60" s="305"/>
      <c r="G60" s="302">
        <v>41</v>
      </c>
      <c r="H60" s="303">
        <f t="shared" ref="H60:W60" si="11">SUMIF($D$24:$D$54,"41",H$24:H$54)</f>
        <v>0</v>
      </c>
      <c r="I60" s="303">
        <f t="shared" si="11"/>
        <v>300000</v>
      </c>
      <c r="J60" s="303">
        <f t="shared" si="11"/>
        <v>1000000</v>
      </c>
      <c r="K60" s="303">
        <f t="shared" si="11"/>
        <v>1000000</v>
      </c>
      <c r="L60" s="303">
        <f t="shared" si="11"/>
        <v>1300000</v>
      </c>
      <c r="M60" s="303">
        <f t="shared" si="11"/>
        <v>1000000</v>
      </c>
      <c r="N60" s="303">
        <f t="shared" si="11"/>
        <v>1000000</v>
      </c>
      <c r="O60" s="303">
        <f t="shared" si="11"/>
        <v>1300000</v>
      </c>
      <c r="P60" s="303">
        <f t="shared" si="11"/>
        <v>1000000</v>
      </c>
      <c r="Q60" s="303">
        <f t="shared" si="11"/>
        <v>1000000</v>
      </c>
      <c r="R60" s="303">
        <f t="shared" si="11"/>
        <v>1300000</v>
      </c>
      <c r="S60" s="303">
        <f t="shared" si="11"/>
        <v>1000000</v>
      </c>
      <c r="T60" s="303">
        <f t="shared" si="11"/>
        <v>1300000</v>
      </c>
      <c r="U60" s="303">
        <f t="shared" si="11"/>
        <v>2000000</v>
      </c>
      <c r="V60" s="303">
        <f t="shared" si="11"/>
        <v>1000000</v>
      </c>
      <c r="W60" s="303">
        <f t="shared" si="11"/>
        <v>1000000</v>
      </c>
      <c r="X60" s="305"/>
    </row>
    <row r="61" spans="1:25" ht="22.5" hidden="1" customHeight="1" thickBot="1" x14ac:dyDescent="0.25">
      <c r="B61" s="544" t="s">
        <v>399</v>
      </c>
      <c r="C61" s="545"/>
      <c r="D61" s="545"/>
      <c r="E61" s="545"/>
      <c r="F61" s="545"/>
      <c r="G61" s="545"/>
      <c r="H61" s="545"/>
      <c r="I61" s="545"/>
      <c r="J61" s="545"/>
      <c r="K61" s="545"/>
      <c r="L61" s="545"/>
      <c r="M61" s="545"/>
      <c r="N61" s="545"/>
      <c r="O61" s="545"/>
      <c r="P61" s="545"/>
      <c r="Q61" s="545"/>
      <c r="R61" s="545"/>
      <c r="S61" s="545"/>
      <c r="T61" s="545"/>
      <c r="U61" s="545"/>
      <c r="V61" s="545"/>
      <c r="W61" s="545"/>
      <c r="X61" s="546"/>
      <c r="Y61" s="145"/>
    </row>
    <row r="62" spans="1:25" hidden="1" x14ac:dyDescent="0.2">
      <c r="A62" s="135" t="s">
        <v>400</v>
      </c>
      <c r="B62" s="534" t="s">
        <v>401</v>
      </c>
      <c r="C62" s="535"/>
      <c r="D62" s="306">
        <v>10</v>
      </c>
      <c r="E62" s="307" t="s">
        <v>389</v>
      </c>
      <c r="F62" s="308"/>
      <c r="G62" s="309"/>
      <c r="H62" s="309"/>
      <c r="I62" s="309"/>
      <c r="J62" s="309"/>
      <c r="K62" s="309"/>
      <c r="L62" s="309"/>
      <c r="M62" s="309"/>
      <c r="N62" s="309"/>
      <c r="O62" s="309"/>
      <c r="P62" s="310"/>
      <c r="Q62" s="310"/>
      <c r="R62" s="310"/>
      <c r="S62" s="310"/>
      <c r="T62" s="310"/>
      <c r="U62" s="310"/>
      <c r="V62" s="310"/>
      <c r="W62" s="311"/>
      <c r="X62" s="312">
        <f>SUM(F62:W62)</f>
        <v>0</v>
      </c>
      <c r="Y62" s="145"/>
    </row>
    <row r="63" spans="1:25" ht="25.5" hidden="1" x14ac:dyDescent="0.2">
      <c r="B63" s="230"/>
      <c r="C63" s="231"/>
      <c r="D63" s="232">
        <v>30</v>
      </c>
      <c r="E63" s="233" t="s">
        <v>377</v>
      </c>
      <c r="F63" s="234"/>
      <c r="G63" s="235"/>
      <c r="H63" s="235"/>
      <c r="I63" s="313">
        <f>5300*1000</f>
        <v>5300000</v>
      </c>
      <c r="J63" s="313">
        <f>9666*1000</f>
        <v>9666000</v>
      </c>
      <c r="K63" s="313">
        <f>9864*1000</f>
        <v>9864000</v>
      </c>
      <c r="L63" s="313">
        <f>10062*1000</f>
        <v>10062000</v>
      </c>
      <c r="M63" s="313">
        <f>5695*1000</f>
        <v>5695000</v>
      </c>
      <c r="N63" s="313">
        <f>9666*1000</f>
        <v>9666000</v>
      </c>
      <c r="O63" s="235"/>
      <c r="P63" s="236"/>
      <c r="Q63" s="236"/>
      <c r="R63" s="236"/>
      <c r="S63" s="236"/>
      <c r="T63" s="236"/>
      <c r="U63" s="236"/>
      <c r="V63" s="236"/>
      <c r="W63" s="237"/>
      <c r="X63" s="238">
        <f>SUM(F63:W63)</f>
        <v>50253000</v>
      </c>
      <c r="Y63" s="145"/>
    </row>
    <row r="64" spans="1:25" ht="25.5" hidden="1" x14ac:dyDescent="0.2">
      <c r="B64" s="230"/>
      <c r="C64" s="231"/>
      <c r="D64" s="232">
        <v>37</v>
      </c>
      <c r="E64" s="314" t="s">
        <v>402</v>
      </c>
      <c r="F64" s="234"/>
      <c r="G64" s="235"/>
      <c r="H64" s="235"/>
      <c r="I64" s="235"/>
      <c r="J64" s="235"/>
      <c r="K64" s="235"/>
      <c r="L64" s="235"/>
      <c r="M64" s="235"/>
      <c r="N64" s="235"/>
      <c r="O64" s="235"/>
      <c r="P64" s="236"/>
      <c r="Q64" s="236"/>
      <c r="R64" s="236"/>
      <c r="S64" s="236"/>
      <c r="T64" s="236"/>
      <c r="U64" s="236"/>
      <c r="V64" s="236"/>
      <c r="W64" s="237"/>
      <c r="X64" s="238"/>
      <c r="Y64" s="145"/>
    </row>
    <row r="65" spans="1:25" hidden="1" x14ac:dyDescent="0.2">
      <c r="B65" s="239" t="s">
        <v>383</v>
      </c>
      <c r="C65" s="240"/>
      <c r="D65" s="232">
        <v>41</v>
      </c>
      <c r="E65" s="314" t="s">
        <v>384</v>
      </c>
      <c r="F65" s="234"/>
      <c r="G65" s="235"/>
      <c r="H65" s="235"/>
      <c r="I65" s="235"/>
      <c r="J65" s="235"/>
      <c r="K65" s="235"/>
      <c r="L65" s="235"/>
      <c r="M65" s="235"/>
      <c r="N65" s="235"/>
      <c r="O65" s="235"/>
      <c r="P65" s="236"/>
      <c r="Q65" s="236"/>
      <c r="R65" s="236"/>
      <c r="S65" s="236"/>
      <c r="T65" s="236"/>
      <c r="U65" s="236"/>
      <c r="V65" s="236"/>
      <c r="W65" s="237"/>
      <c r="X65" s="238">
        <f>SUM(F65:W65)</f>
        <v>0</v>
      </c>
      <c r="Y65" s="145"/>
    </row>
    <row r="66" spans="1:25" ht="13.5" hidden="1" thickBot="1" x14ac:dyDescent="0.25">
      <c r="B66" s="243"/>
      <c r="C66" s="243"/>
      <c r="D66" s="244"/>
      <c r="E66" s="315"/>
      <c r="F66" s="316"/>
      <c r="G66" s="317"/>
      <c r="H66" s="317"/>
      <c r="I66" s="317"/>
      <c r="J66" s="317"/>
      <c r="K66" s="317"/>
      <c r="L66" s="317"/>
      <c r="M66" s="317"/>
      <c r="N66" s="317"/>
      <c r="O66" s="317"/>
      <c r="P66" s="318"/>
      <c r="Q66" s="318"/>
      <c r="R66" s="318"/>
      <c r="S66" s="318"/>
      <c r="T66" s="318"/>
      <c r="U66" s="318"/>
      <c r="V66" s="318"/>
      <c r="W66" s="319"/>
      <c r="X66" s="320">
        <f>SUM(F66:W66)</f>
        <v>0</v>
      </c>
      <c r="Y66" s="145"/>
    </row>
    <row r="67" spans="1:25" hidden="1" x14ac:dyDescent="0.2">
      <c r="A67" s="135" t="s">
        <v>400</v>
      </c>
      <c r="B67" s="532" t="s">
        <v>403</v>
      </c>
      <c r="C67" s="533"/>
      <c r="D67" s="306">
        <v>10</v>
      </c>
      <c r="E67" s="307" t="s">
        <v>389</v>
      </c>
      <c r="F67" s="321"/>
      <c r="G67" s="313"/>
      <c r="H67" s="313">
        <v>150000</v>
      </c>
      <c r="I67" s="313">
        <v>150000</v>
      </c>
      <c r="J67" s="313">
        <v>150000</v>
      </c>
      <c r="K67" s="313">
        <v>150000</v>
      </c>
      <c r="L67" s="313">
        <v>150000</v>
      </c>
      <c r="M67" s="313">
        <v>150000</v>
      </c>
      <c r="N67" s="313">
        <v>150000</v>
      </c>
      <c r="O67" s="313">
        <v>150000</v>
      </c>
      <c r="P67" s="313">
        <v>150000</v>
      </c>
      <c r="Q67" s="313">
        <v>150000</v>
      </c>
      <c r="R67" s="313"/>
      <c r="S67" s="313"/>
      <c r="T67" s="313"/>
      <c r="U67" s="313"/>
      <c r="V67" s="324"/>
      <c r="W67" s="322"/>
      <c r="X67" s="323">
        <f>SUM(F67:W67)</f>
        <v>1500000</v>
      </c>
      <c r="Y67" s="145"/>
    </row>
    <row r="68" spans="1:25" ht="25.5" hidden="1" x14ac:dyDescent="0.2">
      <c r="B68" s="230"/>
      <c r="C68" s="231"/>
      <c r="D68" s="232">
        <v>30</v>
      </c>
      <c r="E68" s="233" t="s">
        <v>377</v>
      </c>
      <c r="F68" s="234"/>
      <c r="G68" s="235"/>
      <c r="H68" s="235"/>
      <c r="I68" s="235"/>
      <c r="J68" s="235"/>
      <c r="K68" s="235"/>
      <c r="L68" s="235"/>
      <c r="M68" s="235"/>
      <c r="N68" s="235"/>
      <c r="O68" s="235"/>
      <c r="P68" s="236"/>
      <c r="Q68" s="236"/>
      <c r="R68" s="236"/>
      <c r="S68" s="236"/>
      <c r="T68" s="236"/>
      <c r="U68" s="236"/>
      <c r="V68" s="236"/>
      <c r="W68" s="237"/>
      <c r="X68" s="238">
        <f t="shared" ref="X68:X142" si="12">SUM(F68:W68)</f>
        <v>0</v>
      </c>
      <c r="Y68" s="145"/>
    </row>
    <row r="69" spans="1:25" ht="25.5" hidden="1" x14ac:dyDescent="0.2">
      <c r="B69" s="239"/>
      <c r="C69" s="240"/>
      <c r="D69" s="232">
        <v>37</v>
      </c>
      <c r="E69" s="314" t="s">
        <v>402</v>
      </c>
      <c r="F69" s="234"/>
      <c r="G69" s="235"/>
      <c r="H69" s="235"/>
      <c r="I69" s="235"/>
      <c r="J69" s="235"/>
      <c r="K69" s="235"/>
      <c r="L69" s="235"/>
      <c r="M69" s="235"/>
      <c r="N69" s="235"/>
      <c r="O69" s="235"/>
      <c r="P69" s="236"/>
      <c r="Q69" s="236"/>
      <c r="R69" s="236"/>
      <c r="S69" s="236"/>
      <c r="T69" s="236"/>
      <c r="U69" s="236"/>
      <c r="V69" s="236"/>
      <c r="W69" s="237"/>
      <c r="X69" s="238">
        <f t="shared" si="12"/>
        <v>0</v>
      </c>
      <c r="Y69" s="145"/>
    </row>
    <row r="70" spans="1:25" hidden="1" x14ac:dyDescent="0.2">
      <c r="B70" s="241" t="s">
        <v>383</v>
      </c>
      <c r="C70" s="241"/>
      <c r="D70" s="232">
        <v>41</v>
      </c>
      <c r="E70" s="233" t="s">
        <v>384</v>
      </c>
      <c r="F70" s="234"/>
      <c r="G70" s="235"/>
      <c r="H70" s="235"/>
      <c r="I70" s="235"/>
      <c r="J70" s="235"/>
      <c r="K70" s="235"/>
      <c r="L70" s="235"/>
      <c r="M70" s="235"/>
      <c r="N70" s="235"/>
      <c r="O70" s="235"/>
      <c r="P70" s="236"/>
      <c r="Q70" s="236"/>
      <c r="R70" s="236"/>
      <c r="S70" s="236"/>
      <c r="T70" s="236"/>
      <c r="U70" s="236"/>
      <c r="V70" s="236"/>
      <c r="W70" s="237"/>
      <c r="X70" s="238">
        <f t="shared" si="12"/>
        <v>0</v>
      </c>
      <c r="Y70" s="145"/>
    </row>
    <row r="71" spans="1:25" ht="13.5" hidden="1" thickBot="1" x14ac:dyDescent="0.25">
      <c r="B71" s="243"/>
      <c r="C71" s="243"/>
      <c r="D71" s="244"/>
      <c r="E71" s="315"/>
      <c r="F71" s="316"/>
      <c r="G71" s="317"/>
      <c r="H71" s="317"/>
      <c r="I71" s="317"/>
      <c r="J71" s="317"/>
      <c r="K71" s="317"/>
      <c r="L71" s="317"/>
      <c r="M71" s="317"/>
      <c r="N71" s="317"/>
      <c r="O71" s="317"/>
      <c r="P71" s="318"/>
      <c r="Q71" s="318"/>
      <c r="R71" s="318"/>
      <c r="S71" s="318"/>
      <c r="T71" s="318"/>
      <c r="U71" s="318"/>
      <c r="V71" s="318"/>
      <c r="W71" s="319"/>
      <c r="X71" s="320">
        <f t="shared" si="12"/>
        <v>0</v>
      </c>
      <c r="Y71" s="145"/>
    </row>
    <row r="72" spans="1:25" ht="24.75" hidden="1" customHeight="1" x14ac:dyDescent="0.2">
      <c r="A72" s="135" t="s">
        <v>404</v>
      </c>
      <c r="B72" s="532" t="s">
        <v>405</v>
      </c>
      <c r="C72" s="533"/>
      <c r="D72" s="306">
        <v>10</v>
      </c>
      <c r="E72" s="307" t="s">
        <v>389</v>
      </c>
      <c r="F72" s="321"/>
      <c r="G72" s="313"/>
      <c r="H72" s="313">
        <v>243000</v>
      </c>
      <c r="I72" s="313">
        <v>248000</v>
      </c>
      <c r="J72" s="313">
        <v>253000</v>
      </c>
      <c r="K72" s="313">
        <v>258000</v>
      </c>
      <c r="L72" s="313"/>
      <c r="M72" s="313"/>
      <c r="N72" s="313"/>
      <c r="O72" s="313"/>
      <c r="P72" s="324"/>
      <c r="Q72" s="324"/>
      <c r="R72" s="324"/>
      <c r="S72" s="324"/>
      <c r="T72" s="324"/>
      <c r="U72" s="324"/>
      <c r="V72" s="324"/>
      <c r="W72" s="322"/>
      <c r="X72" s="323">
        <f t="shared" si="12"/>
        <v>1002000</v>
      </c>
      <c r="Y72" s="145"/>
    </row>
    <row r="73" spans="1:25" ht="25.5" hidden="1" x14ac:dyDescent="0.2">
      <c r="B73" s="230"/>
      <c r="C73" s="231"/>
      <c r="D73" s="232">
        <v>30</v>
      </c>
      <c r="E73" s="233" t="s">
        <v>377</v>
      </c>
      <c r="F73" s="234"/>
      <c r="G73" s="235"/>
      <c r="H73" s="235">
        <v>2640000</v>
      </c>
      <c r="I73" s="235"/>
      <c r="J73" s="313">
        <v>2255000</v>
      </c>
      <c r="K73" s="313">
        <v>767000</v>
      </c>
      <c r="L73" s="313"/>
      <c r="M73" s="313"/>
      <c r="N73" s="235"/>
      <c r="O73" s="235"/>
      <c r="P73" s="236"/>
      <c r="Q73" s="236"/>
      <c r="R73" s="236"/>
      <c r="S73" s="236"/>
      <c r="T73" s="236"/>
      <c r="U73" s="236"/>
      <c r="V73" s="236"/>
      <c r="W73" s="237"/>
      <c r="X73" s="238">
        <f t="shared" si="12"/>
        <v>5662000</v>
      </c>
      <c r="Y73" s="145"/>
    </row>
    <row r="74" spans="1:25" ht="25.5" hidden="1" x14ac:dyDescent="0.2">
      <c r="B74" s="239"/>
      <c r="C74" s="240"/>
      <c r="D74" s="232">
        <v>37</v>
      </c>
      <c r="E74" s="314" t="s">
        <v>402</v>
      </c>
      <c r="F74" s="234"/>
      <c r="G74" s="235"/>
      <c r="H74" s="235">
        <v>400000</v>
      </c>
      <c r="I74" s="235">
        <v>400000</v>
      </c>
      <c r="J74" s="235">
        <v>400000</v>
      </c>
      <c r="K74" s="235">
        <v>400000</v>
      </c>
      <c r="L74" s="235"/>
      <c r="M74" s="235"/>
      <c r="N74" s="235"/>
      <c r="O74" s="235"/>
      <c r="P74" s="236"/>
      <c r="Q74" s="236"/>
      <c r="R74" s="236"/>
      <c r="S74" s="236"/>
      <c r="T74" s="236"/>
      <c r="U74" s="236"/>
      <c r="V74" s="236"/>
      <c r="W74" s="237"/>
      <c r="X74" s="238">
        <f t="shared" si="12"/>
        <v>1600000</v>
      </c>
      <c r="Y74" s="145"/>
    </row>
    <row r="75" spans="1:25" hidden="1" x14ac:dyDescent="0.2">
      <c r="B75" s="241" t="s">
        <v>383</v>
      </c>
      <c r="C75" s="241"/>
      <c r="D75" s="232">
        <v>41</v>
      </c>
      <c r="E75" s="233" t="s">
        <v>384</v>
      </c>
      <c r="F75" s="234"/>
      <c r="G75" s="235"/>
      <c r="H75" s="235"/>
      <c r="I75" s="235">
        <v>200000</v>
      </c>
      <c r="J75" s="235">
        <v>100000</v>
      </c>
      <c r="K75" s="235">
        <v>100000</v>
      </c>
      <c r="L75" s="235"/>
      <c r="M75" s="235"/>
      <c r="N75" s="235"/>
      <c r="O75" s="235"/>
      <c r="P75" s="236"/>
      <c r="Q75" s="236"/>
      <c r="R75" s="236"/>
      <c r="S75" s="236"/>
      <c r="T75" s="236"/>
      <c r="U75" s="236"/>
      <c r="V75" s="236"/>
      <c r="W75" s="237"/>
      <c r="X75" s="238">
        <f t="shared" si="12"/>
        <v>400000</v>
      </c>
      <c r="Y75" s="145"/>
    </row>
    <row r="76" spans="1:25" ht="13.5" hidden="1" thickBot="1" x14ac:dyDescent="0.25">
      <c r="B76" s="243"/>
      <c r="C76" s="243"/>
      <c r="D76" s="244"/>
      <c r="E76" s="315"/>
      <c r="F76" s="316"/>
      <c r="G76" s="317"/>
      <c r="H76" s="317"/>
      <c r="I76" s="317"/>
      <c r="J76" s="317"/>
      <c r="K76" s="317"/>
      <c r="L76" s="317"/>
      <c r="M76" s="317"/>
      <c r="N76" s="317"/>
      <c r="O76" s="317"/>
      <c r="P76" s="318"/>
      <c r="Q76" s="318"/>
      <c r="R76" s="318"/>
      <c r="S76" s="318"/>
      <c r="T76" s="318"/>
      <c r="U76" s="318"/>
      <c r="V76" s="318"/>
      <c r="W76" s="319"/>
      <c r="X76" s="320">
        <f t="shared" si="12"/>
        <v>0</v>
      </c>
      <c r="Y76" s="145"/>
    </row>
    <row r="77" spans="1:25" hidden="1" x14ac:dyDescent="0.2">
      <c r="A77" s="135" t="s">
        <v>406</v>
      </c>
      <c r="B77" s="532" t="s">
        <v>407</v>
      </c>
      <c r="C77" s="533"/>
      <c r="D77" s="306">
        <v>10</v>
      </c>
      <c r="E77" s="307" t="s">
        <v>389</v>
      </c>
      <c r="F77" s="321"/>
      <c r="G77" s="313"/>
      <c r="H77" s="313">
        <v>200000</v>
      </c>
      <c r="I77" s="313">
        <v>206000</v>
      </c>
      <c r="J77" s="313">
        <v>212000</v>
      </c>
      <c r="K77" s="313">
        <v>218000</v>
      </c>
      <c r="L77" s="313"/>
      <c r="M77" s="313"/>
      <c r="N77" s="313"/>
      <c r="O77" s="313"/>
      <c r="P77" s="324"/>
      <c r="Q77" s="324"/>
      <c r="R77" s="324"/>
      <c r="S77" s="324"/>
      <c r="T77" s="324"/>
      <c r="U77" s="324"/>
      <c r="V77" s="324"/>
      <c r="W77" s="322"/>
      <c r="X77" s="323">
        <f t="shared" si="12"/>
        <v>836000</v>
      </c>
      <c r="Y77" s="145"/>
    </row>
    <row r="78" spans="1:25" ht="25.5" hidden="1" x14ac:dyDescent="0.2">
      <c r="B78" s="230"/>
      <c r="C78" s="231"/>
      <c r="D78" s="232">
        <v>30</v>
      </c>
      <c r="E78" s="233" t="s">
        <v>377</v>
      </c>
      <c r="F78" s="234"/>
      <c r="G78" s="235"/>
      <c r="H78" s="235"/>
      <c r="I78" s="235"/>
      <c r="J78" s="235"/>
      <c r="K78" s="235"/>
      <c r="L78" s="235"/>
      <c r="M78" s="235"/>
      <c r="N78" s="235"/>
      <c r="O78" s="235"/>
      <c r="P78" s="236"/>
      <c r="Q78" s="236"/>
      <c r="R78" s="236"/>
      <c r="S78" s="236"/>
      <c r="T78" s="236"/>
      <c r="U78" s="236"/>
      <c r="V78" s="236"/>
      <c r="W78" s="237"/>
      <c r="X78" s="238">
        <f t="shared" si="12"/>
        <v>0</v>
      </c>
      <c r="Y78" s="145"/>
    </row>
    <row r="79" spans="1:25" ht="25.5" hidden="1" x14ac:dyDescent="0.2">
      <c r="B79" s="239"/>
      <c r="C79" s="240"/>
      <c r="D79" s="232">
        <v>37</v>
      </c>
      <c r="E79" s="314" t="s">
        <v>402</v>
      </c>
      <c r="F79" s="234"/>
      <c r="G79" s="235"/>
      <c r="H79" s="235">
        <v>1100000</v>
      </c>
      <c r="I79" s="235">
        <v>1100000</v>
      </c>
      <c r="J79" s="235">
        <v>1100000</v>
      </c>
      <c r="K79" s="235">
        <v>1100000</v>
      </c>
      <c r="L79" s="235"/>
      <c r="M79" s="235"/>
      <c r="N79" s="235"/>
      <c r="O79" s="235"/>
      <c r="P79" s="236"/>
      <c r="Q79" s="236"/>
      <c r="R79" s="236"/>
      <c r="S79" s="236"/>
      <c r="T79" s="236"/>
      <c r="U79" s="236"/>
      <c r="V79" s="236"/>
      <c r="W79" s="237"/>
      <c r="X79" s="238">
        <f t="shared" si="12"/>
        <v>4400000</v>
      </c>
      <c r="Y79" s="145"/>
    </row>
    <row r="80" spans="1:25" hidden="1" x14ac:dyDescent="0.2">
      <c r="B80" s="241" t="s">
        <v>383</v>
      </c>
      <c r="C80" s="241"/>
      <c r="D80" s="232">
        <v>41</v>
      </c>
      <c r="E80" s="233" t="s">
        <v>384</v>
      </c>
      <c r="F80" s="234"/>
      <c r="G80" s="235"/>
      <c r="H80" s="235"/>
      <c r="I80" s="235"/>
      <c r="J80" s="235"/>
      <c r="K80" s="235"/>
      <c r="L80" s="235"/>
      <c r="M80" s="235"/>
      <c r="N80" s="235"/>
      <c r="O80" s="235"/>
      <c r="P80" s="236"/>
      <c r="Q80" s="236"/>
      <c r="R80" s="236"/>
      <c r="S80" s="236"/>
      <c r="T80" s="236"/>
      <c r="U80" s="236"/>
      <c r="V80" s="236"/>
      <c r="W80" s="237"/>
      <c r="X80" s="238">
        <f t="shared" si="12"/>
        <v>0</v>
      </c>
      <c r="Y80" s="145"/>
    </row>
    <row r="81" spans="1:25" ht="13.5" hidden="1" thickBot="1" x14ac:dyDescent="0.25">
      <c r="B81" s="243"/>
      <c r="C81" s="243"/>
      <c r="D81" s="244"/>
      <c r="E81" s="315"/>
      <c r="F81" s="316"/>
      <c r="G81" s="317"/>
      <c r="H81" s="317"/>
      <c r="I81" s="317"/>
      <c r="J81" s="317"/>
      <c r="K81" s="317"/>
      <c r="L81" s="317"/>
      <c r="M81" s="317"/>
      <c r="N81" s="317"/>
      <c r="O81" s="317"/>
      <c r="P81" s="318"/>
      <c r="Q81" s="318"/>
      <c r="R81" s="318"/>
      <c r="S81" s="318"/>
      <c r="T81" s="318"/>
      <c r="U81" s="318"/>
      <c r="V81" s="318"/>
      <c r="W81" s="319"/>
      <c r="X81" s="320">
        <f t="shared" si="12"/>
        <v>0</v>
      </c>
      <c r="Y81" s="145"/>
    </row>
    <row r="82" spans="1:25" hidden="1" x14ac:dyDescent="0.2">
      <c r="A82" s="135" t="s">
        <v>408</v>
      </c>
      <c r="B82" s="532" t="s">
        <v>409</v>
      </c>
      <c r="C82" s="533"/>
      <c r="D82" s="306">
        <v>10</v>
      </c>
      <c r="E82" s="307" t="s">
        <v>389</v>
      </c>
      <c r="F82" s="321"/>
      <c r="G82" s="313"/>
      <c r="H82" s="313">
        <v>207000</v>
      </c>
      <c r="I82" s="313">
        <v>215000</v>
      </c>
      <c r="J82" s="313">
        <v>222000</v>
      </c>
      <c r="K82" s="313">
        <v>230000</v>
      </c>
      <c r="L82" s="313">
        <v>238000</v>
      </c>
      <c r="M82" s="313">
        <v>246000</v>
      </c>
      <c r="N82" s="313">
        <v>255000</v>
      </c>
      <c r="O82" s="313">
        <v>264000</v>
      </c>
      <c r="P82" s="324">
        <v>273000</v>
      </c>
      <c r="Q82" s="324">
        <v>283000</v>
      </c>
      <c r="R82" s="324"/>
      <c r="S82" s="324"/>
      <c r="T82" s="324"/>
      <c r="U82" s="324"/>
      <c r="V82" s="324"/>
      <c r="W82" s="322"/>
      <c r="X82" s="323">
        <f t="shared" si="12"/>
        <v>2433000</v>
      </c>
      <c r="Y82" s="145"/>
    </row>
    <row r="83" spans="1:25" ht="25.5" hidden="1" x14ac:dyDescent="0.2">
      <c r="B83" s="230"/>
      <c r="C83" s="231"/>
      <c r="D83" s="232">
        <v>30</v>
      </c>
      <c r="E83" s="233" t="s">
        <v>377</v>
      </c>
      <c r="F83" s="234"/>
      <c r="G83" s="235"/>
      <c r="H83" s="235"/>
      <c r="I83" s="235"/>
      <c r="J83" s="235"/>
      <c r="K83" s="235"/>
      <c r="L83" s="235"/>
      <c r="M83" s="235"/>
      <c r="N83" s="235"/>
      <c r="O83" s="235"/>
      <c r="P83" s="236"/>
      <c r="Q83" s="236"/>
      <c r="R83" s="236"/>
      <c r="S83" s="236"/>
      <c r="T83" s="236"/>
      <c r="U83" s="236"/>
      <c r="V83" s="236"/>
      <c r="W83" s="237"/>
      <c r="X83" s="238">
        <f t="shared" si="12"/>
        <v>0</v>
      </c>
      <c r="Y83" s="145"/>
    </row>
    <row r="84" spans="1:25" ht="25.5" hidden="1" x14ac:dyDescent="0.2">
      <c r="B84" s="239"/>
      <c r="C84" s="240"/>
      <c r="D84" s="232">
        <v>37</v>
      </c>
      <c r="E84" s="314" t="s">
        <v>402</v>
      </c>
      <c r="F84" s="234"/>
      <c r="G84" s="235"/>
      <c r="H84" s="235">
        <v>780000</v>
      </c>
      <c r="I84" s="235">
        <v>808000</v>
      </c>
      <c r="J84" s="235">
        <v>836000</v>
      </c>
      <c r="K84" s="235">
        <v>864000</v>
      </c>
      <c r="L84" s="235">
        <v>896000</v>
      </c>
      <c r="M84" s="235">
        <v>927000</v>
      </c>
      <c r="N84" s="235">
        <v>959000</v>
      </c>
      <c r="O84" s="235">
        <v>993000</v>
      </c>
      <c r="P84" s="236">
        <v>1028000</v>
      </c>
      <c r="Q84" s="236">
        <v>1063000</v>
      </c>
      <c r="R84" s="236"/>
      <c r="S84" s="236"/>
      <c r="T84" s="236"/>
      <c r="U84" s="236"/>
      <c r="V84" s="236"/>
      <c r="W84" s="237"/>
      <c r="X84" s="238">
        <f t="shared" si="12"/>
        <v>9154000</v>
      </c>
      <c r="Y84" s="145"/>
    </row>
    <row r="85" spans="1:25" hidden="1" x14ac:dyDescent="0.2">
      <c r="B85" s="241" t="s">
        <v>383</v>
      </c>
      <c r="C85" s="241"/>
      <c r="D85" s="242">
        <v>41</v>
      </c>
      <c r="E85" s="233" t="s">
        <v>384</v>
      </c>
      <c r="F85" s="234"/>
      <c r="G85" s="235"/>
      <c r="H85" s="235"/>
      <c r="I85" s="235"/>
      <c r="J85" s="235"/>
      <c r="K85" s="235"/>
      <c r="L85" s="235"/>
      <c r="M85" s="235"/>
      <c r="N85" s="235"/>
      <c r="O85" s="235"/>
      <c r="P85" s="236"/>
      <c r="Q85" s="236"/>
      <c r="R85" s="236"/>
      <c r="S85" s="236"/>
      <c r="T85" s="236"/>
      <c r="U85" s="236"/>
      <c r="V85" s="236"/>
      <c r="W85" s="237"/>
      <c r="X85" s="238">
        <f t="shared" si="12"/>
        <v>0</v>
      </c>
      <c r="Y85" s="145"/>
    </row>
    <row r="86" spans="1:25" ht="39" hidden="1" thickBot="1" x14ac:dyDescent="0.25">
      <c r="B86" s="243"/>
      <c r="C86" s="243"/>
      <c r="D86" s="244">
        <v>99</v>
      </c>
      <c r="E86" s="315" t="s">
        <v>410</v>
      </c>
      <c r="F86" s="316"/>
      <c r="G86" s="317"/>
      <c r="H86" s="317">
        <v>6500000</v>
      </c>
      <c r="I86" s="317">
        <v>6728000</v>
      </c>
      <c r="J86" s="317">
        <v>6963000</v>
      </c>
      <c r="K86" s="317">
        <v>7207000</v>
      </c>
      <c r="L86" s="317">
        <v>7459000</v>
      </c>
      <c r="M86" s="317">
        <v>7720000</v>
      </c>
      <c r="N86" s="317">
        <v>7990000</v>
      </c>
      <c r="O86" s="317">
        <v>8270000</v>
      </c>
      <c r="P86" s="318">
        <v>8560000</v>
      </c>
      <c r="Q86" s="318">
        <v>8860000</v>
      </c>
      <c r="R86" s="318"/>
      <c r="S86" s="318"/>
      <c r="T86" s="318"/>
      <c r="U86" s="318"/>
      <c r="V86" s="318"/>
      <c r="W86" s="319"/>
      <c r="X86" s="320">
        <f t="shared" si="12"/>
        <v>76257000</v>
      </c>
      <c r="Y86" s="145"/>
    </row>
    <row r="87" spans="1:25" hidden="1" x14ac:dyDescent="0.2">
      <c r="A87" s="135" t="s">
        <v>408</v>
      </c>
      <c r="B87" s="532" t="s">
        <v>411</v>
      </c>
      <c r="C87" s="533"/>
      <c r="D87" s="306">
        <v>10</v>
      </c>
      <c r="E87" s="307" t="s">
        <v>389</v>
      </c>
      <c r="F87" s="321"/>
      <c r="G87" s="313"/>
      <c r="H87" s="313">
        <v>160000</v>
      </c>
      <c r="I87" s="313">
        <v>166000</v>
      </c>
      <c r="J87" s="313"/>
      <c r="K87" s="313"/>
      <c r="L87" s="313"/>
      <c r="M87" s="313"/>
      <c r="N87" s="313"/>
      <c r="O87" s="313"/>
      <c r="P87" s="324"/>
      <c r="Q87" s="324"/>
      <c r="R87" s="324"/>
      <c r="S87" s="324"/>
      <c r="T87" s="324"/>
      <c r="U87" s="324"/>
      <c r="V87" s="324"/>
      <c r="W87" s="322"/>
      <c r="X87" s="323">
        <f t="shared" si="12"/>
        <v>326000</v>
      </c>
      <c r="Y87" s="145"/>
    </row>
    <row r="88" spans="1:25" ht="25.5" hidden="1" x14ac:dyDescent="0.2">
      <c r="B88" s="230"/>
      <c r="C88" s="231"/>
      <c r="D88" s="232">
        <v>30</v>
      </c>
      <c r="E88" s="233" t="s">
        <v>377</v>
      </c>
      <c r="F88" s="234"/>
      <c r="G88" s="235"/>
      <c r="H88" s="235"/>
      <c r="I88" s="235"/>
      <c r="J88" s="235"/>
      <c r="K88" s="235"/>
      <c r="L88" s="235"/>
      <c r="M88" s="235"/>
      <c r="N88" s="235"/>
      <c r="O88" s="235"/>
      <c r="P88" s="236"/>
      <c r="Q88" s="236"/>
      <c r="R88" s="236"/>
      <c r="S88" s="236"/>
      <c r="T88" s="236"/>
      <c r="U88" s="236"/>
      <c r="V88" s="236"/>
      <c r="W88" s="237"/>
      <c r="X88" s="238">
        <f t="shared" si="12"/>
        <v>0</v>
      </c>
      <c r="Y88" s="145"/>
    </row>
    <row r="89" spans="1:25" ht="38.25" hidden="1" x14ac:dyDescent="0.2">
      <c r="B89" s="239"/>
      <c r="C89" s="240"/>
      <c r="D89" s="232">
        <v>37</v>
      </c>
      <c r="E89" s="314" t="s">
        <v>412</v>
      </c>
      <c r="F89" s="234"/>
      <c r="G89" s="235"/>
      <c r="H89" s="235">
        <v>130000</v>
      </c>
      <c r="I89" s="235">
        <v>135000</v>
      </c>
      <c r="J89" s="235"/>
      <c r="K89" s="235"/>
      <c r="L89" s="235"/>
      <c r="M89" s="235"/>
      <c r="N89" s="235"/>
      <c r="O89" s="235"/>
      <c r="P89" s="236"/>
      <c r="Q89" s="236"/>
      <c r="R89" s="236"/>
      <c r="S89" s="236"/>
      <c r="T89" s="236"/>
      <c r="U89" s="236"/>
      <c r="V89" s="236"/>
      <c r="W89" s="237"/>
      <c r="X89" s="238">
        <f t="shared" si="12"/>
        <v>265000</v>
      </c>
      <c r="Y89" s="145"/>
    </row>
    <row r="90" spans="1:25" hidden="1" x14ac:dyDescent="0.2">
      <c r="B90" s="241" t="s">
        <v>383</v>
      </c>
      <c r="C90" s="241"/>
      <c r="D90" s="232">
        <v>41</v>
      </c>
      <c r="E90" s="233" t="s">
        <v>384</v>
      </c>
      <c r="F90" s="234"/>
      <c r="G90" s="235"/>
      <c r="H90" s="235">
        <v>871000</v>
      </c>
      <c r="I90" s="235"/>
      <c r="J90" s="235"/>
      <c r="K90" s="235"/>
      <c r="L90" s="235"/>
      <c r="M90" s="235"/>
      <c r="N90" s="235"/>
      <c r="O90" s="235"/>
      <c r="P90" s="236"/>
      <c r="Q90" s="236"/>
      <c r="R90" s="236"/>
      <c r="S90" s="236"/>
      <c r="T90" s="236"/>
      <c r="U90" s="236"/>
      <c r="V90" s="236"/>
      <c r="W90" s="237"/>
      <c r="X90" s="238">
        <f t="shared" si="12"/>
        <v>871000</v>
      </c>
      <c r="Y90" s="145"/>
    </row>
    <row r="91" spans="1:25" ht="13.5" hidden="1" thickBot="1" x14ac:dyDescent="0.25">
      <c r="B91" s="243"/>
      <c r="C91" s="243"/>
      <c r="D91" s="244"/>
      <c r="E91" s="315"/>
      <c r="F91" s="316"/>
      <c r="G91" s="317"/>
      <c r="H91" s="317"/>
      <c r="I91" s="317"/>
      <c r="J91" s="317"/>
      <c r="K91" s="317"/>
      <c r="L91" s="317"/>
      <c r="M91" s="317"/>
      <c r="N91" s="317"/>
      <c r="O91" s="317"/>
      <c r="P91" s="318"/>
      <c r="Q91" s="318"/>
      <c r="R91" s="318"/>
      <c r="S91" s="318"/>
      <c r="T91" s="318"/>
      <c r="U91" s="318"/>
      <c r="V91" s="318"/>
      <c r="W91" s="319"/>
      <c r="X91" s="320">
        <f t="shared" si="12"/>
        <v>0</v>
      </c>
      <c r="Y91" s="145"/>
    </row>
    <row r="92" spans="1:25" hidden="1" x14ac:dyDescent="0.2">
      <c r="A92" s="135" t="s">
        <v>406</v>
      </c>
      <c r="B92" s="532" t="s">
        <v>413</v>
      </c>
      <c r="C92" s="533"/>
      <c r="D92" s="306">
        <v>10</v>
      </c>
      <c r="E92" s="307" t="s">
        <v>389</v>
      </c>
      <c r="F92" s="321"/>
      <c r="G92" s="313"/>
      <c r="H92" s="313">
        <v>280000</v>
      </c>
      <c r="I92" s="313">
        <v>290000</v>
      </c>
      <c r="J92" s="313"/>
      <c r="K92" s="313"/>
      <c r="L92" s="313"/>
      <c r="M92" s="313"/>
      <c r="N92" s="313"/>
      <c r="O92" s="313"/>
      <c r="P92" s="324"/>
      <c r="Q92" s="324"/>
      <c r="R92" s="324"/>
      <c r="S92" s="324"/>
      <c r="T92" s="324"/>
      <c r="U92" s="324"/>
      <c r="V92" s="324"/>
      <c r="W92" s="322"/>
      <c r="X92" s="323">
        <f>SUM(F92:W92)</f>
        <v>570000</v>
      </c>
      <c r="Y92" s="145"/>
    </row>
    <row r="93" spans="1:25" ht="25.5" hidden="1" x14ac:dyDescent="0.2">
      <c r="B93" s="230"/>
      <c r="C93" s="231"/>
      <c r="D93" s="232">
        <v>30</v>
      </c>
      <c r="E93" s="233" t="s">
        <v>377</v>
      </c>
      <c r="F93" s="234"/>
      <c r="G93" s="235"/>
      <c r="H93" s="235"/>
      <c r="I93" s="235"/>
      <c r="J93" s="235"/>
      <c r="K93" s="235"/>
      <c r="L93" s="235"/>
      <c r="M93" s="235"/>
      <c r="N93" s="235"/>
      <c r="O93" s="235"/>
      <c r="P93" s="236"/>
      <c r="Q93" s="236"/>
      <c r="R93" s="236"/>
      <c r="S93" s="236"/>
      <c r="T93" s="236"/>
      <c r="U93" s="236"/>
      <c r="V93" s="236"/>
      <c r="W93" s="237"/>
      <c r="X93" s="238">
        <f>SUM(F93:W93)</f>
        <v>0</v>
      </c>
      <c r="Y93" s="145"/>
    </row>
    <row r="94" spans="1:25" ht="26.25" hidden="1" customHeight="1" x14ac:dyDescent="0.2">
      <c r="B94" s="239"/>
      <c r="C94" s="240"/>
      <c r="D94" s="232">
        <v>37</v>
      </c>
      <c r="E94" s="314" t="s">
        <v>414</v>
      </c>
      <c r="F94" s="234"/>
      <c r="G94" s="235"/>
      <c r="H94" s="235">
        <v>130000</v>
      </c>
      <c r="I94" s="235">
        <v>135000</v>
      </c>
      <c r="J94" s="235"/>
      <c r="K94" s="235"/>
      <c r="L94" s="235"/>
      <c r="M94" s="235"/>
      <c r="N94" s="235"/>
      <c r="O94" s="235"/>
      <c r="P94" s="236"/>
      <c r="Q94" s="236"/>
      <c r="R94" s="236"/>
      <c r="S94" s="236"/>
      <c r="T94" s="236"/>
      <c r="U94" s="236"/>
      <c r="V94" s="236"/>
      <c r="W94" s="237"/>
      <c r="X94" s="238">
        <f>SUM(F94:W94)</f>
        <v>265000</v>
      </c>
      <c r="Y94" s="145"/>
    </row>
    <row r="95" spans="1:25" hidden="1" x14ac:dyDescent="0.2">
      <c r="B95" s="241" t="s">
        <v>383</v>
      </c>
      <c r="C95" s="241"/>
      <c r="D95" s="232">
        <v>41</v>
      </c>
      <c r="E95" s="233" t="s">
        <v>415</v>
      </c>
      <c r="F95" s="234"/>
      <c r="G95" s="235"/>
      <c r="H95" s="235">
        <v>850000</v>
      </c>
      <c r="I95" s="235"/>
      <c r="J95" s="235"/>
      <c r="K95" s="235"/>
      <c r="L95" s="235"/>
      <c r="M95" s="235"/>
      <c r="N95" s="235"/>
      <c r="O95" s="235"/>
      <c r="P95" s="236"/>
      <c r="Q95" s="236"/>
      <c r="R95" s="236"/>
      <c r="S95" s="236"/>
      <c r="T95" s="236"/>
      <c r="U95" s="236"/>
      <c r="V95" s="236"/>
      <c r="W95" s="237"/>
      <c r="X95" s="238">
        <f>SUM(F95:W95)</f>
        <v>850000</v>
      </c>
      <c r="Y95" s="145"/>
    </row>
    <row r="96" spans="1:25" ht="13.5" hidden="1" thickBot="1" x14ac:dyDescent="0.25">
      <c r="B96" s="243"/>
      <c r="C96" s="243"/>
      <c r="D96" s="244"/>
      <c r="E96" s="315"/>
      <c r="F96" s="316"/>
      <c r="G96" s="317"/>
      <c r="H96" s="317"/>
      <c r="I96" s="317"/>
      <c r="J96" s="317"/>
      <c r="K96" s="317"/>
      <c r="L96" s="317"/>
      <c r="M96" s="317"/>
      <c r="N96" s="317"/>
      <c r="O96" s="317"/>
      <c r="P96" s="318"/>
      <c r="Q96" s="318"/>
      <c r="R96" s="318"/>
      <c r="S96" s="318"/>
      <c r="T96" s="318"/>
      <c r="U96" s="318"/>
      <c r="V96" s="318"/>
      <c r="W96" s="319"/>
      <c r="X96" s="320">
        <f>SUM(F96:W96)</f>
        <v>0</v>
      </c>
      <c r="Y96" s="145"/>
    </row>
    <row r="97" spans="1:25" hidden="1" x14ac:dyDescent="0.2">
      <c r="A97" s="135" t="s">
        <v>408</v>
      </c>
      <c r="B97" s="532" t="s">
        <v>213</v>
      </c>
      <c r="C97" s="533"/>
      <c r="D97" s="306">
        <v>10</v>
      </c>
      <c r="E97" s="307" t="s">
        <v>389</v>
      </c>
      <c r="F97" s="321"/>
      <c r="G97" s="313"/>
      <c r="H97" s="313">
        <v>160000</v>
      </c>
      <c r="I97" s="313">
        <v>166000</v>
      </c>
      <c r="J97" s="313"/>
      <c r="K97" s="313"/>
      <c r="L97" s="313"/>
      <c r="M97" s="313"/>
      <c r="N97" s="313"/>
      <c r="O97" s="313"/>
      <c r="P97" s="324"/>
      <c r="Q97" s="324"/>
      <c r="R97" s="324"/>
      <c r="S97" s="324"/>
      <c r="T97" s="324"/>
      <c r="U97" s="324"/>
      <c r="V97" s="324"/>
      <c r="W97" s="322"/>
      <c r="X97" s="323">
        <f t="shared" si="12"/>
        <v>326000</v>
      </c>
      <c r="Y97" s="145"/>
    </row>
    <row r="98" spans="1:25" ht="25.5" hidden="1" x14ac:dyDescent="0.2">
      <c r="B98" s="230"/>
      <c r="C98" s="231"/>
      <c r="D98" s="232">
        <v>30</v>
      </c>
      <c r="E98" s="233" t="s">
        <v>377</v>
      </c>
      <c r="F98" s="234"/>
      <c r="G98" s="235"/>
      <c r="H98" s="235"/>
      <c r="I98" s="235"/>
      <c r="J98" s="235"/>
      <c r="K98" s="235"/>
      <c r="L98" s="235"/>
      <c r="M98" s="235"/>
      <c r="N98" s="235"/>
      <c r="O98" s="235"/>
      <c r="P98" s="236"/>
      <c r="Q98" s="236"/>
      <c r="R98" s="236"/>
      <c r="S98" s="236"/>
      <c r="T98" s="236"/>
      <c r="U98" s="236"/>
      <c r="V98" s="236"/>
      <c r="W98" s="237"/>
      <c r="X98" s="238">
        <f t="shared" si="12"/>
        <v>0</v>
      </c>
      <c r="Y98" s="145"/>
    </row>
    <row r="99" spans="1:25" ht="26.25" hidden="1" customHeight="1" x14ac:dyDescent="0.2">
      <c r="B99" s="239"/>
      <c r="C99" s="240"/>
      <c r="D99" s="232">
        <v>37</v>
      </c>
      <c r="E99" s="314" t="s">
        <v>414</v>
      </c>
      <c r="F99" s="234"/>
      <c r="G99" s="235"/>
      <c r="H99" s="235">
        <v>130000</v>
      </c>
      <c r="I99" s="235">
        <v>135000</v>
      </c>
      <c r="J99" s="235"/>
      <c r="K99" s="235"/>
      <c r="L99" s="235"/>
      <c r="M99" s="235"/>
      <c r="N99" s="235"/>
      <c r="O99" s="235"/>
      <c r="P99" s="236"/>
      <c r="Q99" s="236"/>
      <c r="R99" s="236"/>
      <c r="S99" s="236"/>
      <c r="T99" s="236"/>
      <c r="U99" s="236"/>
      <c r="V99" s="236"/>
      <c r="W99" s="237"/>
      <c r="X99" s="238">
        <f t="shared" si="12"/>
        <v>265000</v>
      </c>
      <c r="Y99" s="145"/>
    </row>
    <row r="100" spans="1:25" hidden="1" x14ac:dyDescent="0.2">
      <c r="B100" s="241" t="s">
        <v>383</v>
      </c>
      <c r="C100" s="241"/>
      <c r="D100" s="232">
        <v>41</v>
      </c>
      <c r="E100" s="233" t="s">
        <v>384</v>
      </c>
      <c r="F100" s="234"/>
      <c r="G100" s="235"/>
      <c r="H100" s="235">
        <v>533000</v>
      </c>
      <c r="I100" s="235"/>
      <c r="J100" s="235"/>
      <c r="K100" s="235"/>
      <c r="L100" s="235"/>
      <c r="M100" s="235"/>
      <c r="N100" s="235"/>
      <c r="O100" s="235"/>
      <c r="P100" s="236"/>
      <c r="Q100" s="236"/>
      <c r="R100" s="236"/>
      <c r="S100" s="236"/>
      <c r="T100" s="236"/>
      <c r="U100" s="236"/>
      <c r="V100" s="236"/>
      <c r="W100" s="237"/>
      <c r="X100" s="238">
        <f t="shared" si="12"/>
        <v>533000</v>
      </c>
      <c r="Y100" s="145"/>
    </row>
    <row r="101" spans="1:25" ht="13.5" hidden="1" thickBot="1" x14ac:dyDescent="0.25">
      <c r="B101" s="243"/>
      <c r="C101" s="243"/>
      <c r="D101" s="244"/>
      <c r="E101" s="325"/>
      <c r="F101" s="316"/>
      <c r="G101" s="317"/>
      <c r="H101" s="317"/>
      <c r="I101" s="317"/>
      <c r="J101" s="317"/>
      <c r="K101" s="317"/>
      <c r="L101" s="317"/>
      <c r="M101" s="317"/>
      <c r="N101" s="317"/>
      <c r="O101" s="317"/>
      <c r="P101" s="318"/>
      <c r="Q101" s="318"/>
      <c r="R101" s="318"/>
      <c r="S101" s="318"/>
      <c r="T101" s="318"/>
      <c r="U101" s="318"/>
      <c r="V101" s="318"/>
      <c r="W101" s="319"/>
      <c r="X101" s="320">
        <f t="shared" si="12"/>
        <v>0</v>
      </c>
      <c r="Y101" s="145"/>
    </row>
    <row r="102" spans="1:25" hidden="1" x14ac:dyDescent="0.2">
      <c r="A102" s="135" t="s">
        <v>416</v>
      </c>
      <c r="B102" s="532" t="s">
        <v>417</v>
      </c>
      <c r="C102" s="533"/>
      <c r="D102" s="306">
        <v>10</v>
      </c>
      <c r="E102" s="307" t="s">
        <v>389</v>
      </c>
      <c r="F102" s="321"/>
      <c r="G102" s="313"/>
      <c r="H102" s="313">
        <v>527000</v>
      </c>
      <c r="I102" s="313">
        <v>545000</v>
      </c>
      <c r="J102" s="313">
        <v>564000</v>
      </c>
      <c r="K102" s="313">
        <v>584000</v>
      </c>
      <c r="L102" s="313">
        <v>604000</v>
      </c>
      <c r="M102" s="313">
        <v>626000</v>
      </c>
      <c r="N102" s="313">
        <v>647000</v>
      </c>
      <c r="O102" s="313">
        <v>670000</v>
      </c>
      <c r="P102" s="324">
        <v>693000</v>
      </c>
      <c r="Q102" s="324">
        <v>718000</v>
      </c>
      <c r="R102" s="324"/>
      <c r="S102" s="324"/>
      <c r="T102" s="324"/>
      <c r="U102" s="324"/>
      <c r="V102" s="324"/>
      <c r="W102" s="322"/>
      <c r="X102" s="323">
        <f t="shared" si="12"/>
        <v>6178000</v>
      </c>
      <c r="Y102" s="145"/>
    </row>
    <row r="103" spans="1:25" ht="25.5" hidden="1" x14ac:dyDescent="0.2">
      <c r="A103" s="135" t="s">
        <v>408</v>
      </c>
      <c r="B103" s="230"/>
      <c r="C103" s="231"/>
      <c r="D103" s="232">
        <v>30</v>
      </c>
      <c r="E103" s="233" t="s">
        <v>377</v>
      </c>
      <c r="F103" s="234"/>
      <c r="G103" s="235"/>
      <c r="H103" s="235"/>
      <c r="I103" s="235"/>
      <c r="J103" s="235"/>
      <c r="K103" s="235"/>
      <c r="L103" s="235"/>
      <c r="M103" s="235"/>
      <c r="N103" s="235"/>
      <c r="O103" s="235"/>
      <c r="P103" s="236"/>
      <c r="Q103" s="236"/>
      <c r="R103" s="236"/>
      <c r="S103" s="236"/>
      <c r="T103" s="236"/>
      <c r="U103" s="236"/>
      <c r="V103" s="236"/>
      <c r="W103" s="237"/>
      <c r="X103" s="238">
        <f t="shared" si="12"/>
        <v>0</v>
      </c>
      <c r="Y103" s="145"/>
    </row>
    <row r="104" spans="1:25" ht="38.25" hidden="1" x14ac:dyDescent="0.2">
      <c r="B104" s="239"/>
      <c r="C104" s="240"/>
      <c r="D104" s="232">
        <v>37</v>
      </c>
      <c r="E104" s="314" t="s">
        <v>418</v>
      </c>
      <c r="F104" s="234"/>
      <c r="G104" s="235"/>
      <c r="H104" s="235">
        <v>975000</v>
      </c>
      <c r="I104" s="235">
        <v>1010000</v>
      </c>
      <c r="J104" s="235">
        <v>1045000</v>
      </c>
      <c r="K104" s="235">
        <v>1081000</v>
      </c>
      <c r="L104" s="235">
        <v>1119000</v>
      </c>
      <c r="M104" s="235">
        <v>1158000</v>
      </c>
      <c r="N104" s="235">
        <v>1200000</v>
      </c>
      <c r="O104" s="235">
        <v>1240000</v>
      </c>
      <c r="P104" s="236">
        <v>1284000</v>
      </c>
      <c r="Q104" s="236">
        <v>1330000</v>
      </c>
      <c r="R104" s="236"/>
      <c r="S104" s="236"/>
      <c r="T104" s="236"/>
      <c r="U104" s="236"/>
      <c r="V104" s="236"/>
      <c r="W104" s="237"/>
      <c r="X104" s="238">
        <f t="shared" si="12"/>
        <v>11442000</v>
      </c>
      <c r="Y104" s="145"/>
    </row>
    <row r="105" spans="1:25" hidden="1" x14ac:dyDescent="0.2">
      <c r="B105" s="241" t="s">
        <v>383</v>
      </c>
      <c r="C105" s="241"/>
      <c r="D105" s="232">
        <v>41</v>
      </c>
      <c r="E105" s="314" t="s">
        <v>384</v>
      </c>
      <c r="F105" s="234"/>
      <c r="G105" s="235"/>
      <c r="H105" s="235"/>
      <c r="I105" s="235"/>
      <c r="J105" s="235"/>
      <c r="K105" s="235"/>
      <c r="L105" s="235"/>
      <c r="M105" s="235"/>
      <c r="N105" s="235"/>
      <c r="O105" s="235"/>
      <c r="P105" s="236"/>
      <c r="Q105" s="236"/>
      <c r="R105" s="236"/>
      <c r="S105" s="236"/>
      <c r="T105" s="236"/>
      <c r="U105" s="236"/>
      <c r="V105" s="236"/>
      <c r="W105" s="237"/>
      <c r="X105" s="238">
        <f t="shared" si="12"/>
        <v>0</v>
      </c>
      <c r="Y105" s="145"/>
    </row>
    <row r="106" spans="1:25" ht="13.5" hidden="1" thickBot="1" x14ac:dyDescent="0.25">
      <c r="B106" s="243"/>
      <c r="C106" s="243"/>
      <c r="D106" s="244"/>
      <c r="E106" s="315"/>
      <c r="F106" s="316"/>
      <c r="G106" s="317"/>
      <c r="H106" s="317"/>
      <c r="I106" s="317"/>
      <c r="J106" s="317"/>
      <c r="K106" s="317"/>
      <c r="L106" s="317"/>
      <c r="M106" s="317"/>
      <c r="N106" s="317"/>
      <c r="O106" s="317"/>
      <c r="P106" s="318"/>
      <c r="Q106" s="318"/>
      <c r="R106" s="318"/>
      <c r="S106" s="318"/>
      <c r="T106" s="318"/>
      <c r="U106" s="318"/>
      <c r="V106" s="318"/>
      <c r="W106" s="319"/>
      <c r="X106" s="320">
        <f t="shared" si="12"/>
        <v>0</v>
      </c>
      <c r="Y106" s="145"/>
    </row>
    <row r="107" spans="1:25" hidden="1" x14ac:dyDescent="0.2">
      <c r="A107" s="135" t="s">
        <v>408</v>
      </c>
      <c r="B107" s="532" t="s">
        <v>419</v>
      </c>
      <c r="C107" s="533"/>
      <c r="D107" s="306">
        <v>10</v>
      </c>
      <c r="E107" s="307" t="s">
        <v>389</v>
      </c>
      <c r="F107" s="321"/>
      <c r="G107" s="313"/>
      <c r="H107" s="313">
        <v>162000</v>
      </c>
      <c r="I107" s="313">
        <v>118000</v>
      </c>
      <c r="J107" s="313">
        <v>122000</v>
      </c>
      <c r="K107" s="313">
        <v>126000</v>
      </c>
      <c r="L107" s="313">
        <v>130000</v>
      </c>
      <c r="M107" s="313">
        <v>135000</v>
      </c>
      <c r="N107" s="313"/>
      <c r="O107" s="313"/>
      <c r="P107" s="324"/>
      <c r="Q107" s="324"/>
      <c r="R107" s="324"/>
      <c r="S107" s="324"/>
      <c r="T107" s="324"/>
      <c r="U107" s="324"/>
      <c r="V107" s="324"/>
      <c r="W107" s="322"/>
      <c r="X107" s="323">
        <f t="shared" si="12"/>
        <v>793000</v>
      </c>
      <c r="Y107" s="145"/>
    </row>
    <row r="108" spans="1:25" ht="25.5" hidden="1" x14ac:dyDescent="0.2">
      <c r="B108" s="230"/>
      <c r="C108" s="231"/>
      <c r="D108" s="232">
        <v>30</v>
      </c>
      <c r="E108" s="233" t="s">
        <v>377</v>
      </c>
      <c r="F108" s="234"/>
      <c r="G108" s="235"/>
      <c r="H108" s="235"/>
      <c r="I108" s="235"/>
      <c r="J108" s="235"/>
      <c r="K108" s="235"/>
      <c r="L108" s="235"/>
      <c r="M108" s="235"/>
      <c r="N108" s="235"/>
      <c r="O108" s="235"/>
      <c r="P108" s="236"/>
      <c r="Q108" s="236"/>
      <c r="R108" s="236"/>
      <c r="S108" s="236"/>
      <c r="T108" s="236"/>
      <c r="U108" s="236"/>
      <c r="V108" s="236"/>
      <c r="W108" s="237"/>
      <c r="X108" s="238">
        <f t="shared" si="12"/>
        <v>0</v>
      </c>
      <c r="Y108" s="145"/>
    </row>
    <row r="109" spans="1:25" ht="38.25" hidden="1" x14ac:dyDescent="0.2">
      <c r="B109" s="239"/>
      <c r="C109" s="240"/>
      <c r="D109" s="232">
        <v>37</v>
      </c>
      <c r="E109" s="314" t="s">
        <v>420</v>
      </c>
      <c r="F109" s="234"/>
      <c r="G109" s="235"/>
      <c r="H109" s="235">
        <v>520000</v>
      </c>
      <c r="I109" s="235">
        <v>539000</v>
      </c>
      <c r="J109" s="235">
        <v>558000</v>
      </c>
      <c r="K109" s="235">
        <v>577000</v>
      </c>
      <c r="L109" s="235">
        <v>597000</v>
      </c>
      <c r="M109" s="235">
        <v>618000</v>
      </c>
      <c r="N109" s="235"/>
      <c r="O109" s="235"/>
      <c r="P109" s="236"/>
      <c r="Q109" s="236"/>
      <c r="R109" s="236"/>
      <c r="S109" s="236"/>
      <c r="T109" s="236"/>
      <c r="U109" s="236"/>
      <c r="V109" s="236"/>
      <c r="W109" s="237"/>
      <c r="X109" s="238">
        <f t="shared" si="12"/>
        <v>3409000</v>
      </c>
      <c r="Y109" s="145"/>
    </row>
    <row r="110" spans="1:25" hidden="1" x14ac:dyDescent="0.2">
      <c r="B110" s="241" t="s">
        <v>383</v>
      </c>
      <c r="C110" s="241"/>
      <c r="D110" s="232">
        <v>41</v>
      </c>
      <c r="E110" s="233" t="s">
        <v>384</v>
      </c>
      <c r="F110" s="234"/>
      <c r="G110" s="235"/>
      <c r="H110" s="235">
        <v>208000</v>
      </c>
      <c r="I110" s="235"/>
      <c r="J110" s="235">
        <v>223000</v>
      </c>
      <c r="K110" s="235"/>
      <c r="L110" s="235">
        <v>239000</v>
      </c>
      <c r="M110" s="235"/>
      <c r="N110" s="235"/>
      <c r="O110" s="235"/>
      <c r="P110" s="236"/>
      <c r="Q110" s="236"/>
      <c r="R110" s="236"/>
      <c r="S110" s="236"/>
      <c r="T110" s="236"/>
      <c r="U110" s="236"/>
      <c r="V110" s="236"/>
      <c r="W110" s="237"/>
      <c r="X110" s="238">
        <f t="shared" si="12"/>
        <v>670000</v>
      </c>
      <c r="Y110" s="145"/>
    </row>
    <row r="111" spans="1:25" ht="13.5" hidden="1" thickBot="1" x14ac:dyDescent="0.25">
      <c r="B111" s="243"/>
      <c r="C111" s="243"/>
      <c r="D111" s="244"/>
      <c r="E111" s="326"/>
      <c r="F111" s="316"/>
      <c r="G111" s="317"/>
      <c r="H111" s="317"/>
      <c r="I111" s="317"/>
      <c r="J111" s="317"/>
      <c r="K111" s="317"/>
      <c r="L111" s="317"/>
      <c r="M111" s="317"/>
      <c r="N111" s="317"/>
      <c r="O111" s="317"/>
      <c r="P111" s="318"/>
      <c r="Q111" s="318"/>
      <c r="R111" s="318"/>
      <c r="S111" s="318"/>
      <c r="T111" s="318"/>
      <c r="U111" s="318"/>
      <c r="V111" s="318"/>
      <c r="W111" s="319"/>
      <c r="X111" s="320">
        <f t="shared" si="12"/>
        <v>0</v>
      </c>
      <c r="Y111" s="145"/>
    </row>
    <row r="112" spans="1:25" hidden="1" x14ac:dyDescent="0.2">
      <c r="A112" s="135" t="s">
        <v>421</v>
      </c>
      <c r="B112" s="532" t="s">
        <v>422</v>
      </c>
      <c r="C112" s="533"/>
      <c r="D112" s="306">
        <v>10</v>
      </c>
      <c r="E112" s="307" t="s">
        <v>389</v>
      </c>
      <c r="F112" s="321"/>
      <c r="G112" s="313"/>
      <c r="H112" s="313">
        <v>2000000</v>
      </c>
      <c r="I112" s="313">
        <v>1000000</v>
      </c>
      <c r="J112" s="313">
        <v>1000000</v>
      </c>
      <c r="K112" s="313">
        <v>500000</v>
      </c>
      <c r="L112" s="313">
        <v>500000</v>
      </c>
      <c r="M112" s="313">
        <v>500000</v>
      </c>
      <c r="N112" s="313">
        <v>500000</v>
      </c>
      <c r="O112" s="313">
        <v>500000</v>
      </c>
      <c r="P112" s="313">
        <v>500000</v>
      </c>
      <c r="Q112" s="313">
        <v>500000</v>
      </c>
      <c r="R112" s="313"/>
      <c r="S112" s="313"/>
      <c r="T112" s="313"/>
      <c r="U112" s="313"/>
      <c r="V112" s="313"/>
      <c r="W112" s="313"/>
      <c r="X112" s="323">
        <f t="shared" si="12"/>
        <v>7500000</v>
      </c>
      <c r="Y112" s="145"/>
    </row>
    <row r="113" spans="1:25" ht="25.5" hidden="1" x14ac:dyDescent="0.2">
      <c r="B113" s="230"/>
      <c r="C113" s="231"/>
      <c r="D113" s="232">
        <v>30</v>
      </c>
      <c r="E113" s="233" t="s">
        <v>377</v>
      </c>
      <c r="F113" s="234"/>
      <c r="G113" s="235"/>
      <c r="H113" s="235"/>
      <c r="I113" s="235"/>
      <c r="J113" s="235"/>
      <c r="K113" s="235"/>
      <c r="L113" s="235"/>
      <c r="M113" s="235"/>
      <c r="N113" s="235"/>
      <c r="O113" s="235"/>
      <c r="P113" s="236"/>
      <c r="Q113" s="236"/>
      <c r="R113" s="236"/>
      <c r="S113" s="236"/>
      <c r="T113" s="236"/>
      <c r="U113" s="236"/>
      <c r="V113" s="236"/>
      <c r="W113" s="237"/>
      <c r="X113" s="238">
        <f t="shared" si="12"/>
        <v>0</v>
      </c>
      <c r="Y113" s="145"/>
    </row>
    <row r="114" spans="1:25" ht="25.5" hidden="1" x14ac:dyDescent="0.2">
      <c r="B114" s="239"/>
      <c r="C114" s="240"/>
      <c r="D114" s="232">
        <v>37</v>
      </c>
      <c r="E114" s="314" t="s">
        <v>402</v>
      </c>
      <c r="F114" s="234"/>
      <c r="G114" s="235"/>
      <c r="H114" s="235">
        <v>2000000</v>
      </c>
      <c r="I114" s="235">
        <v>1000000</v>
      </c>
      <c r="J114" s="235">
        <v>1000000</v>
      </c>
      <c r="K114" s="235">
        <v>500000</v>
      </c>
      <c r="L114" s="235">
        <v>500000</v>
      </c>
      <c r="M114" s="235">
        <v>500000</v>
      </c>
      <c r="N114" s="235">
        <v>500000</v>
      </c>
      <c r="O114" s="235">
        <v>500000</v>
      </c>
      <c r="P114" s="235">
        <v>500000</v>
      </c>
      <c r="Q114" s="235">
        <v>500000</v>
      </c>
      <c r="R114" s="235"/>
      <c r="S114" s="236"/>
      <c r="T114" s="236"/>
      <c r="U114" s="236"/>
      <c r="V114" s="236"/>
      <c r="W114" s="237"/>
      <c r="X114" s="238">
        <f t="shared" si="12"/>
        <v>7500000</v>
      </c>
      <c r="Y114" s="145"/>
    </row>
    <row r="115" spans="1:25" hidden="1" x14ac:dyDescent="0.2">
      <c r="B115" s="241" t="s">
        <v>383</v>
      </c>
      <c r="C115" s="241"/>
      <c r="D115" s="232">
        <v>41</v>
      </c>
      <c r="E115" s="233" t="s">
        <v>384</v>
      </c>
      <c r="F115" s="234"/>
      <c r="G115" s="235"/>
      <c r="H115" s="235"/>
      <c r="I115" s="235"/>
      <c r="J115" s="235"/>
      <c r="K115" s="235"/>
      <c r="L115" s="235"/>
      <c r="M115" s="235"/>
      <c r="N115" s="235"/>
      <c r="O115" s="235"/>
      <c r="P115" s="236"/>
      <c r="Q115" s="236"/>
      <c r="R115" s="236"/>
      <c r="S115" s="236"/>
      <c r="T115" s="236"/>
      <c r="U115" s="236"/>
      <c r="V115" s="236"/>
      <c r="W115" s="237"/>
      <c r="X115" s="238">
        <f t="shared" si="12"/>
        <v>0</v>
      </c>
      <c r="Y115" s="145"/>
    </row>
    <row r="116" spans="1:25" ht="13.5" hidden="1" thickBot="1" x14ac:dyDescent="0.25">
      <c r="B116" s="243"/>
      <c r="C116" s="243"/>
      <c r="D116" s="244"/>
      <c r="E116" s="325"/>
      <c r="F116" s="316"/>
      <c r="G116" s="317"/>
      <c r="H116" s="317"/>
      <c r="I116" s="317"/>
      <c r="J116" s="317"/>
      <c r="K116" s="317"/>
      <c r="L116" s="317"/>
      <c r="M116" s="317"/>
      <c r="N116" s="317"/>
      <c r="O116" s="317"/>
      <c r="P116" s="318"/>
      <c r="Q116" s="318"/>
      <c r="R116" s="318"/>
      <c r="S116" s="318"/>
      <c r="T116" s="318"/>
      <c r="U116" s="318"/>
      <c r="V116" s="318"/>
      <c r="W116" s="319"/>
      <c r="X116" s="320">
        <f t="shared" si="12"/>
        <v>0</v>
      </c>
      <c r="Y116" s="145"/>
    </row>
    <row r="117" spans="1:25" hidden="1" x14ac:dyDescent="0.2">
      <c r="A117" s="135" t="s">
        <v>408</v>
      </c>
      <c r="B117" s="532" t="s">
        <v>423</v>
      </c>
      <c r="C117" s="533"/>
      <c r="D117" s="306">
        <v>10</v>
      </c>
      <c r="E117" s="307" t="s">
        <v>389</v>
      </c>
      <c r="F117" s="321"/>
      <c r="G117" s="313"/>
      <c r="H117" s="313">
        <v>329000</v>
      </c>
      <c r="I117" s="313">
        <v>341000</v>
      </c>
      <c r="J117" s="313">
        <v>353000</v>
      </c>
      <c r="K117" s="313">
        <v>365000</v>
      </c>
      <c r="L117" s="313">
        <v>378000</v>
      </c>
      <c r="M117" s="313">
        <v>391000</v>
      </c>
      <c r="N117" s="313">
        <v>405000</v>
      </c>
      <c r="O117" s="313">
        <v>419000</v>
      </c>
      <c r="P117" s="324">
        <v>431000</v>
      </c>
      <c r="Q117" s="324">
        <v>449000</v>
      </c>
      <c r="R117" s="324"/>
      <c r="S117" s="324"/>
      <c r="T117" s="324"/>
      <c r="U117" s="324"/>
      <c r="V117" s="324"/>
      <c r="W117" s="322"/>
      <c r="X117" s="323">
        <f t="shared" si="12"/>
        <v>3861000</v>
      </c>
      <c r="Y117" s="145"/>
    </row>
    <row r="118" spans="1:25" ht="25.5" hidden="1" x14ac:dyDescent="0.2">
      <c r="B118" s="230"/>
      <c r="C118" s="231"/>
      <c r="D118" s="232">
        <v>30</v>
      </c>
      <c r="E118" s="233" t="s">
        <v>377</v>
      </c>
      <c r="F118" s="234"/>
      <c r="G118" s="235"/>
      <c r="H118" s="235"/>
      <c r="I118" s="235"/>
      <c r="J118" s="235"/>
      <c r="K118" s="235"/>
      <c r="L118" s="235"/>
      <c r="M118" s="235"/>
      <c r="N118" s="235"/>
      <c r="O118" s="235"/>
      <c r="P118" s="236"/>
      <c r="Q118" s="236"/>
      <c r="R118" s="236"/>
      <c r="S118" s="236"/>
      <c r="T118" s="236"/>
      <c r="U118" s="236"/>
      <c r="V118" s="236"/>
      <c r="W118" s="237"/>
      <c r="X118" s="238">
        <f t="shared" si="12"/>
        <v>0</v>
      </c>
      <c r="Y118" s="145"/>
    </row>
    <row r="119" spans="1:25" ht="38.25" hidden="1" x14ac:dyDescent="0.2">
      <c r="B119" s="239"/>
      <c r="C119" s="240"/>
      <c r="D119" s="232">
        <v>37</v>
      </c>
      <c r="E119" s="314" t="s">
        <v>420</v>
      </c>
      <c r="F119" s="234"/>
      <c r="G119" s="235"/>
      <c r="H119" s="235">
        <v>6500000</v>
      </c>
      <c r="I119" s="235">
        <v>6728000</v>
      </c>
      <c r="J119" s="235">
        <v>6963000</v>
      </c>
      <c r="K119" s="235">
        <v>7207000</v>
      </c>
      <c r="L119" s="235">
        <v>7459000</v>
      </c>
      <c r="M119" s="235">
        <v>7720000</v>
      </c>
      <c r="N119" s="235">
        <v>7991000</v>
      </c>
      <c r="O119" s="235">
        <v>8270000</v>
      </c>
      <c r="P119" s="236">
        <v>8560000</v>
      </c>
      <c r="Q119" s="236">
        <v>8860000</v>
      </c>
      <c r="R119" s="236"/>
      <c r="S119" s="236"/>
      <c r="T119" s="236"/>
      <c r="U119" s="236"/>
      <c r="V119" s="236"/>
      <c r="W119" s="237"/>
      <c r="X119" s="238">
        <f t="shared" si="12"/>
        <v>76258000</v>
      </c>
      <c r="Y119" s="145"/>
    </row>
    <row r="120" spans="1:25" hidden="1" x14ac:dyDescent="0.2">
      <c r="B120" s="241" t="s">
        <v>383</v>
      </c>
      <c r="C120" s="241"/>
      <c r="D120" s="232">
        <v>41</v>
      </c>
      <c r="E120" s="233" t="s">
        <v>384</v>
      </c>
      <c r="F120" s="234"/>
      <c r="G120" s="235"/>
      <c r="H120" s="235"/>
      <c r="I120" s="235"/>
      <c r="J120" s="235"/>
      <c r="K120" s="235"/>
      <c r="L120" s="235"/>
      <c r="M120" s="235"/>
      <c r="N120" s="235"/>
      <c r="O120" s="235"/>
      <c r="P120" s="236"/>
      <c r="Q120" s="236"/>
      <c r="R120" s="236"/>
      <c r="S120" s="236"/>
      <c r="T120" s="236"/>
      <c r="U120" s="236"/>
      <c r="V120" s="236"/>
      <c r="W120" s="237"/>
      <c r="X120" s="238">
        <f t="shared" si="12"/>
        <v>0</v>
      </c>
      <c r="Y120" s="145"/>
    </row>
    <row r="121" spans="1:25" ht="13.5" hidden="1" thickBot="1" x14ac:dyDescent="0.25">
      <c r="B121" s="243"/>
      <c r="C121" s="243"/>
      <c r="D121" s="244"/>
      <c r="E121" s="315"/>
      <c r="F121" s="316"/>
      <c r="G121" s="317"/>
      <c r="H121" s="317"/>
      <c r="I121" s="317"/>
      <c r="J121" s="317"/>
      <c r="K121" s="317"/>
      <c r="L121" s="317"/>
      <c r="M121" s="317"/>
      <c r="N121" s="317"/>
      <c r="O121" s="317"/>
      <c r="P121" s="318"/>
      <c r="Q121" s="318"/>
      <c r="R121" s="318"/>
      <c r="S121" s="318"/>
      <c r="T121" s="318"/>
      <c r="U121" s="318"/>
      <c r="V121" s="318"/>
      <c r="W121" s="319"/>
      <c r="X121" s="320">
        <f t="shared" si="12"/>
        <v>0</v>
      </c>
      <c r="Y121" s="145"/>
    </row>
    <row r="122" spans="1:25" hidden="1" x14ac:dyDescent="0.2">
      <c r="A122" s="135" t="s">
        <v>400</v>
      </c>
      <c r="B122" s="532" t="s">
        <v>424</v>
      </c>
      <c r="C122" s="533"/>
      <c r="D122" s="306">
        <v>10</v>
      </c>
      <c r="E122" s="307" t="s">
        <v>389</v>
      </c>
      <c r="F122" s="321"/>
      <c r="G122" s="313"/>
      <c r="H122" s="313"/>
      <c r="I122" s="313"/>
      <c r="J122" s="313"/>
      <c r="K122" s="313"/>
      <c r="L122" s="313"/>
      <c r="M122" s="313"/>
      <c r="N122" s="313"/>
      <c r="O122" s="313"/>
      <c r="P122" s="324"/>
      <c r="Q122" s="324"/>
      <c r="R122" s="324"/>
      <c r="S122" s="324"/>
      <c r="T122" s="324"/>
      <c r="U122" s="324"/>
      <c r="V122" s="324"/>
      <c r="W122" s="322"/>
      <c r="X122" s="323">
        <f t="shared" si="12"/>
        <v>0</v>
      </c>
      <c r="Y122" s="145"/>
    </row>
    <row r="123" spans="1:25" ht="25.5" hidden="1" x14ac:dyDescent="0.2">
      <c r="B123" s="230"/>
      <c r="C123" s="231"/>
      <c r="D123" s="232">
        <v>30</v>
      </c>
      <c r="E123" s="233" t="s">
        <v>377</v>
      </c>
      <c r="F123" s="234"/>
      <c r="G123" s="235"/>
      <c r="H123" s="235"/>
      <c r="I123" s="235"/>
      <c r="J123" s="235"/>
      <c r="K123" s="235"/>
      <c r="L123" s="235"/>
      <c r="M123" s="235"/>
      <c r="N123" s="235"/>
      <c r="O123" s="235"/>
      <c r="P123" s="236"/>
      <c r="Q123" s="236"/>
      <c r="R123" s="236"/>
      <c r="S123" s="236"/>
      <c r="T123" s="236"/>
      <c r="U123" s="236"/>
      <c r="V123" s="236"/>
      <c r="W123" s="237"/>
      <c r="X123" s="238">
        <f t="shared" si="12"/>
        <v>0</v>
      </c>
      <c r="Y123" s="145"/>
    </row>
    <row r="124" spans="1:25" ht="25.5" hidden="1" x14ac:dyDescent="0.2">
      <c r="B124" s="239"/>
      <c r="C124" s="240"/>
      <c r="D124" s="232">
        <v>37</v>
      </c>
      <c r="E124" s="314" t="s">
        <v>402</v>
      </c>
      <c r="F124" s="234"/>
      <c r="G124" s="235"/>
      <c r="H124" s="235"/>
      <c r="I124" s="235"/>
      <c r="J124" s="235"/>
      <c r="K124" s="235"/>
      <c r="L124" s="235"/>
      <c r="M124" s="235"/>
      <c r="N124" s="235"/>
      <c r="O124" s="235"/>
      <c r="P124" s="236"/>
      <c r="Q124" s="236"/>
      <c r="R124" s="236"/>
      <c r="S124" s="236"/>
      <c r="T124" s="236"/>
      <c r="U124" s="236"/>
      <c r="V124" s="236"/>
      <c r="W124" s="237"/>
      <c r="X124" s="238">
        <f t="shared" si="12"/>
        <v>0</v>
      </c>
      <c r="Y124" s="145"/>
    </row>
    <row r="125" spans="1:25" hidden="1" x14ac:dyDescent="0.2">
      <c r="B125" s="241" t="s">
        <v>383</v>
      </c>
      <c r="C125" s="241"/>
      <c r="D125" s="232">
        <v>41</v>
      </c>
      <c r="E125" s="233" t="s">
        <v>384</v>
      </c>
      <c r="F125" s="234"/>
      <c r="G125" s="235"/>
      <c r="H125" s="235"/>
      <c r="I125" s="235"/>
      <c r="J125" s="235"/>
      <c r="K125" s="235"/>
      <c r="L125" s="235"/>
      <c r="M125" s="235"/>
      <c r="N125" s="235"/>
      <c r="O125" s="235"/>
      <c r="P125" s="236"/>
      <c r="Q125" s="236"/>
      <c r="R125" s="236"/>
      <c r="S125" s="236"/>
      <c r="T125" s="236"/>
      <c r="U125" s="236"/>
      <c r="V125" s="236"/>
      <c r="W125" s="237"/>
      <c r="X125" s="238">
        <f t="shared" si="12"/>
        <v>0</v>
      </c>
      <c r="Y125" s="145"/>
    </row>
    <row r="126" spans="1:25" ht="13.5" hidden="1" thickBot="1" x14ac:dyDescent="0.25">
      <c r="B126" s="243"/>
      <c r="C126" s="243"/>
      <c r="D126" s="244"/>
      <c r="E126" s="315"/>
      <c r="F126" s="316"/>
      <c r="G126" s="317"/>
      <c r="H126" s="317"/>
      <c r="I126" s="317"/>
      <c r="J126" s="317"/>
      <c r="K126" s="317"/>
      <c r="L126" s="317"/>
      <c r="M126" s="317"/>
      <c r="N126" s="317"/>
      <c r="O126" s="317"/>
      <c r="P126" s="318"/>
      <c r="Q126" s="318"/>
      <c r="R126" s="318"/>
      <c r="S126" s="318"/>
      <c r="T126" s="318"/>
      <c r="U126" s="318"/>
      <c r="V126" s="318"/>
      <c r="W126" s="319"/>
      <c r="X126" s="320">
        <f t="shared" si="12"/>
        <v>0</v>
      </c>
      <c r="Y126" s="145"/>
    </row>
    <row r="127" spans="1:25" hidden="1" x14ac:dyDescent="0.2">
      <c r="A127" s="135" t="s">
        <v>425</v>
      </c>
      <c r="B127" s="532" t="s">
        <v>426</v>
      </c>
      <c r="C127" s="533"/>
      <c r="D127" s="306">
        <v>10</v>
      </c>
      <c r="E127" s="307" t="s">
        <v>389</v>
      </c>
      <c r="F127" s="321"/>
      <c r="G127" s="313"/>
      <c r="H127" s="313">
        <v>500000</v>
      </c>
      <c r="I127" s="313">
        <v>500000</v>
      </c>
      <c r="J127" s="313">
        <v>500000</v>
      </c>
      <c r="K127" s="313">
        <v>500000</v>
      </c>
      <c r="L127" s="313">
        <v>500000</v>
      </c>
      <c r="M127" s="313">
        <v>500000</v>
      </c>
      <c r="N127" s="313">
        <v>500000</v>
      </c>
      <c r="O127" s="313">
        <v>500000</v>
      </c>
      <c r="P127" s="313">
        <v>500000</v>
      </c>
      <c r="Q127" s="313">
        <v>500000</v>
      </c>
      <c r="R127" s="324"/>
      <c r="S127" s="324"/>
      <c r="T127" s="324"/>
      <c r="U127" s="324"/>
      <c r="V127" s="324"/>
      <c r="W127" s="322"/>
      <c r="X127" s="323">
        <f t="shared" si="12"/>
        <v>5000000</v>
      </c>
      <c r="Y127" s="145"/>
    </row>
    <row r="128" spans="1:25" ht="25.5" hidden="1" x14ac:dyDescent="0.2">
      <c r="B128" s="230"/>
      <c r="C128" s="231"/>
      <c r="D128" s="232">
        <v>30</v>
      </c>
      <c r="E128" s="233" t="s">
        <v>377</v>
      </c>
      <c r="F128" s="234"/>
      <c r="G128" s="235"/>
      <c r="H128" s="235"/>
      <c r="I128" s="235"/>
      <c r="J128" s="235"/>
      <c r="K128" s="235"/>
      <c r="L128" s="235"/>
      <c r="M128" s="235"/>
      <c r="N128" s="235"/>
      <c r="O128" s="235"/>
      <c r="P128" s="236"/>
      <c r="Q128" s="236"/>
      <c r="R128" s="236"/>
      <c r="S128" s="236"/>
      <c r="T128" s="236"/>
      <c r="U128" s="236"/>
      <c r="V128" s="236"/>
      <c r="W128" s="237"/>
      <c r="X128" s="238">
        <f t="shared" si="12"/>
        <v>0</v>
      </c>
      <c r="Y128" s="145"/>
    </row>
    <row r="129" spans="1:25" ht="25.5" hidden="1" customHeight="1" x14ac:dyDescent="0.2">
      <c r="B129" s="239"/>
      <c r="C129" s="240"/>
      <c r="D129" s="232">
        <v>37</v>
      </c>
      <c r="E129" s="314" t="s">
        <v>414</v>
      </c>
      <c r="F129" s="234"/>
      <c r="G129" s="235"/>
      <c r="H129" s="235">
        <v>400000</v>
      </c>
      <c r="I129" s="235">
        <v>400000</v>
      </c>
      <c r="J129" s="235">
        <v>400000</v>
      </c>
      <c r="K129" s="235">
        <v>400000</v>
      </c>
      <c r="L129" s="235">
        <v>400000</v>
      </c>
      <c r="M129" s="235">
        <v>400000</v>
      </c>
      <c r="N129" s="235">
        <v>400000</v>
      </c>
      <c r="O129" s="235">
        <v>400000</v>
      </c>
      <c r="P129" s="235">
        <v>400000</v>
      </c>
      <c r="Q129" s="235">
        <v>400000</v>
      </c>
      <c r="R129" s="236"/>
      <c r="S129" s="236"/>
      <c r="T129" s="236"/>
      <c r="U129" s="236"/>
      <c r="V129" s="236"/>
      <c r="W129" s="237"/>
      <c r="X129" s="238">
        <f t="shared" si="12"/>
        <v>4000000</v>
      </c>
      <c r="Y129" s="145"/>
    </row>
    <row r="130" spans="1:25" hidden="1" x14ac:dyDescent="0.2">
      <c r="B130" s="241" t="s">
        <v>383</v>
      </c>
      <c r="C130" s="241"/>
      <c r="D130" s="232">
        <v>41</v>
      </c>
      <c r="E130" s="233" t="s">
        <v>384</v>
      </c>
      <c r="F130" s="234"/>
      <c r="G130" s="235"/>
      <c r="H130" s="235"/>
      <c r="I130" s="235"/>
      <c r="J130" s="235"/>
      <c r="K130" s="235"/>
      <c r="L130" s="235"/>
      <c r="M130" s="235"/>
      <c r="N130" s="235"/>
      <c r="O130" s="235"/>
      <c r="P130" s="236"/>
      <c r="Q130" s="236"/>
      <c r="R130" s="236"/>
      <c r="S130" s="236"/>
      <c r="T130" s="236"/>
      <c r="U130" s="236"/>
      <c r="V130" s="236"/>
      <c r="W130" s="237"/>
      <c r="X130" s="238">
        <f t="shared" si="12"/>
        <v>0</v>
      </c>
      <c r="Y130" s="145"/>
    </row>
    <row r="131" spans="1:25" ht="13.5" hidden="1" thickBot="1" x14ac:dyDescent="0.25">
      <c r="B131" s="243"/>
      <c r="C131" s="243"/>
      <c r="D131" s="244"/>
      <c r="E131" s="315"/>
      <c r="F131" s="316"/>
      <c r="G131" s="317"/>
      <c r="H131" s="317"/>
      <c r="I131" s="317"/>
      <c r="J131" s="317"/>
      <c r="K131" s="317"/>
      <c r="L131" s="317"/>
      <c r="M131" s="317"/>
      <c r="N131" s="317"/>
      <c r="O131" s="317"/>
      <c r="P131" s="318"/>
      <c r="Q131" s="318"/>
      <c r="R131" s="318"/>
      <c r="S131" s="318"/>
      <c r="T131" s="318"/>
      <c r="U131" s="318"/>
      <c r="V131" s="318"/>
      <c r="W131" s="319"/>
      <c r="X131" s="320">
        <f t="shared" si="12"/>
        <v>0</v>
      </c>
      <c r="Y131" s="145"/>
    </row>
    <row r="132" spans="1:25" hidden="1" x14ac:dyDescent="0.2">
      <c r="A132" s="135" t="s">
        <v>427</v>
      </c>
      <c r="B132" s="532" t="s">
        <v>428</v>
      </c>
      <c r="C132" s="533"/>
      <c r="D132" s="306">
        <v>10</v>
      </c>
      <c r="E132" s="307" t="s">
        <v>389</v>
      </c>
      <c r="F132" s="321"/>
      <c r="G132" s="313"/>
      <c r="H132" s="313">
        <v>400000</v>
      </c>
      <c r="I132" s="313">
        <v>400000</v>
      </c>
      <c r="J132" s="313">
        <v>400000</v>
      </c>
      <c r="K132" s="313">
        <v>400000</v>
      </c>
      <c r="L132" s="313">
        <v>400000</v>
      </c>
      <c r="M132" s="313">
        <v>400000</v>
      </c>
      <c r="N132" s="313">
        <v>400000</v>
      </c>
      <c r="O132" s="313">
        <v>400000</v>
      </c>
      <c r="P132" s="313">
        <v>400000</v>
      </c>
      <c r="Q132" s="313">
        <v>400000</v>
      </c>
      <c r="R132" s="324"/>
      <c r="S132" s="324"/>
      <c r="T132" s="324"/>
      <c r="U132" s="324"/>
      <c r="V132" s="324"/>
      <c r="W132" s="322"/>
      <c r="X132" s="323">
        <f t="shared" si="12"/>
        <v>4000000</v>
      </c>
      <c r="Y132" s="145"/>
    </row>
    <row r="133" spans="1:25" ht="25.5" hidden="1" x14ac:dyDescent="0.2">
      <c r="B133" s="230"/>
      <c r="C133" s="231"/>
      <c r="D133" s="232">
        <v>30</v>
      </c>
      <c r="E133" s="233" t="s">
        <v>377</v>
      </c>
      <c r="F133" s="234"/>
      <c r="G133" s="235"/>
      <c r="H133" s="235"/>
      <c r="I133" s="235"/>
      <c r="J133" s="235"/>
      <c r="K133" s="235"/>
      <c r="L133" s="235"/>
      <c r="M133" s="235"/>
      <c r="N133" s="235"/>
      <c r="O133" s="235"/>
      <c r="P133" s="236"/>
      <c r="Q133" s="236"/>
      <c r="R133" s="236"/>
      <c r="S133" s="236"/>
      <c r="T133" s="236"/>
      <c r="U133" s="236"/>
      <c r="V133" s="236"/>
      <c r="W133" s="237"/>
      <c r="X133" s="238">
        <f t="shared" si="12"/>
        <v>0</v>
      </c>
      <c r="Y133" s="145"/>
    </row>
    <row r="134" spans="1:25" ht="27" hidden="1" customHeight="1" x14ac:dyDescent="0.2">
      <c r="B134" s="239"/>
      <c r="C134" s="240"/>
      <c r="D134" s="232">
        <v>37</v>
      </c>
      <c r="E134" s="314" t="s">
        <v>414</v>
      </c>
      <c r="F134" s="234"/>
      <c r="G134" s="235"/>
      <c r="H134" s="235">
        <v>500000</v>
      </c>
      <c r="I134" s="235">
        <v>500000</v>
      </c>
      <c r="J134" s="235">
        <v>1000000</v>
      </c>
      <c r="K134" s="235">
        <v>1000000</v>
      </c>
      <c r="L134" s="235">
        <v>1000000</v>
      </c>
      <c r="M134" s="235">
        <v>2000000</v>
      </c>
      <c r="N134" s="235">
        <v>2000000</v>
      </c>
      <c r="O134" s="235">
        <v>1000000</v>
      </c>
      <c r="P134" s="235">
        <v>1000000</v>
      </c>
      <c r="Q134" s="235">
        <v>1000000</v>
      </c>
      <c r="R134" s="236"/>
      <c r="S134" s="236"/>
      <c r="T134" s="236"/>
      <c r="U134" s="236"/>
      <c r="V134" s="236"/>
      <c r="W134" s="237"/>
      <c r="X134" s="238">
        <f t="shared" si="12"/>
        <v>11000000</v>
      </c>
      <c r="Y134" s="145"/>
    </row>
    <row r="135" spans="1:25" hidden="1" x14ac:dyDescent="0.2">
      <c r="B135" s="241" t="s">
        <v>383</v>
      </c>
      <c r="C135" s="241"/>
      <c r="D135" s="232">
        <v>41</v>
      </c>
      <c r="E135" s="233" t="s">
        <v>384</v>
      </c>
      <c r="F135" s="234"/>
      <c r="G135" s="235"/>
      <c r="H135" s="235"/>
      <c r="I135" s="235"/>
      <c r="J135" s="235"/>
      <c r="K135" s="235"/>
      <c r="L135" s="235"/>
      <c r="M135" s="235"/>
      <c r="N135" s="235"/>
      <c r="O135" s="235"/>
      <c r="P135" s="236"/>
      <c r="Q135" s="236"/>
      <c r="R135" s="236"/>
      <c r="S135" s="236"/>
      <c r="T135" s="236"/>
      <c r="U135" s="236"/>
      <c r="V135" s="236"/>
      <c r="W135" s="237"/>
      <c r="X135" s="238">
        <f t="shared" si="12"/>
        <v>0</v>
      </c>
      <c r="Y135" s="145"/>
    </row>
    <row r="136" spans="1:25" ht="13.5" hidden="1" thickBot="1" x14ac:dyDescent="0.25">
      <c r="B136" s="243"/>
      <c r="C136" s="243"/>
      <c r="D136" s="244"/>
      <c r="E136" s="315"/>
      <c r="F136" s="316"/>
      <c r="G136" s="317"/>
      <c r="H136" s="317"/>
      <c r="I136" s="317"/>
      <c r="J136" s="317"/>
      <c r="K136" s="317"/>
      <c r="L136" s="317"/>
      <c r="M136" s="317"/>
      <c r="N136" s="317"/>
      <c r="O136" s="317"/>
      <c r="P136" s="318"/>
      <c r="Q136" s="318"/>
      <c r="R136" s="318"/>
      <c r="S136" s="318"/>
      <c r="T136" s="318"/>
      <c r="U136" s="318"/>
      <c r="V136" s="318"/>
      <c r="W136" s="319"/>
      <c r="X136" s="320">
        <f t="shared" si="12"/>
        <v>0</v>
      </c>
      <c r="Y136" s="145"/>
    </row>
    <row r="137" spans="1:25" hidden="1" x14ac:dyDescent="0.2">
      <c r="A137" s="135" t="s">
        <v>427</v>
      </c>
      <c r="B137" s="532" t="s">
        <v>429</v>
      </c>
      <c r="C137" s="533"/>
      <c r="D137" s="306">
        <v>10</v>
      </c>
      <c r="E137" s="307" t="s">
        <v>389</v>
      </c>
      <c r="F137" s="321"/>
      <c r="G137" s="313"/>
      <c r="H137" s="313">
        <v>500000</v>
      </c>
      <c r="I137" s="313">
        <v>500000</v>
      </c>
      <c r="J137" s="313">
        <v>500000</v>
      </c>
      <c r="K137" s="313">
        <v>500000</v>
      </c>
      <c r="L137" s="313">
        <v>500000</v>
      </c>
      <c r="M137" s="313">
        <v>500000</v>
      </c>
      <c r="N137" s="313">
        <v>500000</v>
      </c>
      <c r="O137" s="313">
        <v>500000</v>
      </c>
      <c r="P137" s="313">
        <v>500000</v>
      </c>
      <c r="Q137" s="313">
        <v>500000</v>
      </c>
      <c r="R137" s="324"/>
      <c r="S137" s="324"/>
      <c r="T137" s="324"/>
      <c r="U137" s="324"/>
      <c r="V137" s="324"/>
      <c r="W137" s="322"/>
      <c r="X137" s="323">
        <f t="shared" si="12"/>
        <v>5000000</v>
      </c>
      <c r="Y137" s="145"/>
    </row>
    <row r="138" spans="1:25" ht="25.5" hidden="1" x14ac:dyDescent="0.2">
      <c r="B138" s="230"/>
      <c r="C138" s="231"/>
      <c r="D138" s="232">
        <v>30</v>
      </c>
      <c r="E138" s="233" t="s">
        <v>377</v>
      </c>
      <c r="F138" s="234"/>
      <c r="G138" s="235"/>
      <c r="H138" s="235"/>
      <c r="I138" s="235"/>
      <c r="J138" s="235"/>
      <c r="K138" s="235"/>
      <c r="L138" s="235"/>
      <c r="M138" s="235"/>
      <c r="N138" s="235"/>
      <c r="O138" s="235"/>
      <c r="P138" s="236"/>
      <c r="Q138" s="236"/>
      <c r="R138" s="236"/>
      <c r="S138" s="236"/>
      <c r="T138" s="236"/>
      <c r="U138" s="236"/>
      <c r="V138" s="236"/>
      <c r="W138" s="237"/>
      <c r="X138" s="238">
        <f t="shared" si="12"/>
        <v>0</v>
      </c>
      <c r="Y138" s="145"/>
    </row>
    <row r="139" spans="1:25" ht="26.25" hidden="1" customHeight="1" x14ac:dyDescent="0.2">
      <c r="B139" s="239"/>
      <c r="C139" s="240"/>
      <c r="D139" s="232">
        <v>37</v>
      </c>
      <c r="E139" s="314" t="s">
        <v>414</v>
      </c>
      <c r="F139" s="234"/>
      <c r="G139" s="235"/>
      <c r="H139" s="235">
        <v>300000</v>
      </c>
      <c r="I139" s="235">
        <v>300000</v>
      </c>
      <c r="J139" s="235">
        <v>300000</v>
      </c>
      <c r="K139" s="235">
        <v>300000</v>
      </c>
      <c r="L139" s="235">
        <v>300000</v>
      </c>
      <c r="M139" s="235">
        <v>300000</v>
      </c>
      <c r="N139" s="235">
        <v>300000</v>
      </c>
      <c r="O139" s="235">
        <v>300000</v>
      </c>
      <c r="P139" s="235">
        <v>300000</v>
      </c>
      <c r="Q139" s="235">
        <v>300000</v>
      </c>
      <c r="R139" s="236"/>
      <c r="S139" s="236"/>
      <c r="T139" s="236"/>
      <c r="U139" s="236"/>
      <c r="V139" s="236"/>
      <c r="W139" s="237"/>
      <c r="X139" s="238">
        <f t="shared" si="12"/>
        <v>3000000</v>
      </c>
      <c r="Y139" s="145"/>
    </row>
    <row r="140" spans="1:25" hidden="1" x14ac:dyDescent="0.2">
      <c r="B140" s="241" t="s">
        <v>383</v>
      </c>
      <c r="C140" s="241"/>
      <c r="D140" s="232">
        <v>41</v>
      </c>
      <c r="E140" s="233" t="s">
        <v>384</v>
      </c>
      <c r="F140" s="234"/>
      <c r="G140" s="235"/>
      <c r="H140" s="235"/>
      <c r="I140" s="235"/>
      <c r="J140" s="235"/>
      <c r="K140" s="235"/>
      <c r="L140" s="235"/>
      <c r="M140" s="235"/>
      <c r="N140" s="235"/>
      <c r="O140" s="235"/>
      <c r="P140" s="236"/>
      <c r="Q140" s="236"/>
      <c r="R140" s="236"/>
      <c r="S140" s="236"/>
      <c r="T140" s="236"/>
      <c r="U140" s="236"/>
      <c r="V140" s="236"/>
      <c r="W140" s="237"/>
      <c r="X140" s="238">
        <f t="shared" si="12"/>
        <v>0</v>
      </c>
      <c r="Y140" s="145"/>
    </row>
    <row r="141" spans="1:25" ht="13.5" hidden="1" thickBot="1" x14ac:dyDescent="0.25">
      <c r="B141" s="243"/>
      <c r="C141" s="243"/>
      <c r="D141" s="244"/>
      <c r="E141" s="315"/>
      <c r="F141" s="316"/>
      <c r="G141" s="317"/>
      <c r="H141" s="317"/>
      <c r="I141" s="317"/>
      <c r="J141" s="317"/>
      <c r="K141" s="317"/>
      <c r="L141" s="317"/>
      <c r="M141" s="317"/>
      <c r="N141" s="317"/>
      <c r="O141" s="317"/>
      <c r="P141" s="318"/>
      <c r="Q141" s="318"/>
      <c r="R141" s="318"/>
      <c r="S141" s="318"/>
      <c r="T141" s="318"/>
      <c r="U141" s="318"/>
      <c r="V141" s="318"/>
      <c r="W141" s="319"/>
      <c r="X141" s="320">
        <f t="shared" si="12"/>
        <v>0</v>
      </c>
      <c r="Y141" s="145"/>
    </row>
    <row r="142" spans="1:25" hidden="1" x14ac:dyDescent="0.2">
      <c r="A142" s="135" t="s">
        <v>427</v>
      </c>
      <c r="B142" s="532" t="s">
        <v>430</v>
      </c>
      <c r="C142" s="533"/>
      <c r="D142" s="306">
        <v>10</v>
      </c>
      <c r="E142" s="307" t="s">
        <v>389</v>
      </c>
      <c r="F142" s="321"/>
      <c r="G142" s="313"/>
      <c r="H142" s="313">
        <v>200000</v>
      </c>
      <c r="I142" s="313">
        <v>200000</v>
      </c>
      <c r="J142" s="313">
        <v>200000</v>
      </c>
      <c r="K142" s="313">
        <v>200000</v>
      </c>
      <c r="L142" s="313">
        <v>200000</v>
      </c>
      <c r="M142" s="313">
        <v>200000</v>
      </c>
      <c r="N142" s="313">
        <v>200000</v>
      </c>
      <c r="O142" s="313">
        <v>200000</v>
      </c>
      <c r="P142" s="313">
        <v>200000</v>
      </c>
      <c r="Q142" s="313">
        <v>200000</v>
      </c>
      <c r="R142" s="324"/>
      <c r="S142" s="324"/>
      <c r="T142" s="324"/>
      <c r="U142" s="324"/>
      <c r="V142" s="324"/>
      <c r="W142" s="322"/>
      <c r="X142" s="323">
        <f t="shared" si="12"/>
        <v>2000000</v>
      </c>
      <c r="Y142" s="145"/>
    </row>
    <row r="143" spans="1:25" ht="25.5" hidden="1" x14ac:dyDescent="0.2">
      <c r="B143" s="230"/>
      <c r="C143" s="231"/>
      <c r="D143" s="232">
        <v>30</v>
      </c>
      <c r="E143" s="233" t="s">
        <v>377</v>
      </c>
      <c r="F143" s="234"/>
      <c r="G143" s="235"/>
      <c r="H143" s="235"/>
      <c r="I143" s="235"/>
      <c r="J143" s="235"/>
      <c r="K143" s="235"/>
      <c r="L143" s="235"/>
      <c r="M143" s="235"/>
      <c r="N143" s="235"/>
      <c r="O143" s="235"/>
      <c r="P143" s="236"/>
      <c r="Q143" s="236"/>
      <c r="R143" s="236"/>
      <c r="S143" s="236"/>
      <c r="T143" s="236"/>
      <c r="U143" s="236"/>
      <c r="V143" s="236"/>
      <c r="W143" s="237"/>
      <c r="X143" s="238">
        <f t="shared" ref="X143:X160" si="13">SUM(F143:W143)</f>
        <v>0</v>
      </c>
      <c r="Y143" s="145"/>
    </row>
    <row r="144" spans="1:25" ht="25.5" hidden="1" x14ac:dyDescent="0.2">
      <c r="B144" s="239"/>
      <c r="C144" s="240"/>
      <c r="D144" s="232">
        <v>37</v>
      </c>
      <c r="E144" s="314" t="s">
        <v>402</v>
      </c>
      <c r="F144" s="234"/>
      <c r="G144" s="235"/>
      <c r="H144" s="235">
        <v>300000</v>
      </c>
      <c r="I144" s="235">
        <v>300000</v>
      </c>
      <c r="J144" s="235">
        <v>300000</v>
      </c>
      <c r="K144" s="235">
        <v>300000</v>
      </c>
      <c r="L144" s="235">
        <v>300000</v>
      </c>
      <c r="M144" s="235">
        <v>300000</v>
      </c>
      <c r="N144" s="235">
        <v>300000</v>
      </c>
      <c r="O144" s="235">
        <v>300000</v>
      </c>
      <c r="P144" s="235">
        <v>300000</v>
      </c>
      <c r="Q144" s="235">
        <v>300000</v>
      </c>
      <c r="R144" s="236"/>
      <c r="S144" s="236"/>
      <c r="T144" s="236"/>
      <c r="U144" s="236"/>
      <c r="V144" s="236"/>
      <c r="W144" s="237"/>
      <c r="X144" s="238">
        <f t="shared" si="13"/>
        <v>3000000</v>
      </c>
      <c r="Y144" s="145"/>
    </row>
    <row r="145" spans="1:25" hidden="1" x14ac:dyDescent="0.2">
      <c r="B145" s="241" t="s">
        <v>383</v>
      </c>
      <c r="C145" s="241"/>
      <c r="D145" s="232">
        <v>41</v>
      </c>
      <c r="E145" s="233" t="s">
        <v>384</v>
      </c>
      <c r="F145" s="234"/>
      <c r="G145" s="235"/>
      <c r="H145" s="235"/>
      <c r="I145" s="235"/>
      <c r="J145" s="235"/>
      <c r="K145" s="235"/>
      <c r="L145" s="235"/>
      <c r="M145" s="235"/>
      <c r="N145" s="235"/>
      <c r="O145" s="235"/>
      <c r="P145" s="236"/>
      <c r="Q145" s="236"/>
      <c r="R145" s="236"/>
      <c r="S145" s="236"/>
      <c r="T145" s="236"/>
      <c r="U145" s="236"/>
      <c r="V145" s="236"/>
      <c r="W145" s="237"/>
      <c r="X145" s="238">
        <f t="shared" si="13"/>
        <v>0</v>
      </c>
      <c r="Y145" s="145"/>
    </row>
    <row r="146" spans="1:25" ht="13.5" hidden="1" thickBot="1" x14ac:dyDescent="0.25">
      <c r="B146" s="243"/>
      <c r="C146" s="243"/>
      <c r="D146" s="244"/>
      <c r="E146" s="315"/>
      <c r="F146" s="316"/>
      <c r="G146" s="317"/>
      <c r="H146" s="317"/>
      <c r="I146" s="317"/>
      <c r="J146" s="317"/>
      <c r="K146" s="317"/>
      <c r="L146" s="317"/>
      <c r="M146" s="317"/>
      <c r="N146" s="317"/>
      <c r="O146" s="317"/>
      <c r="P146" s="318"/>
      <c r="Q146" s="318"/>
      <c r="R146" s="318"/>
      <c r="S146" s="318"/>
      <c r="T146" s="318"/>
      <c r="U146" s="318"/>
      <c r="V146" s="318"/>
      <c r="W146" s="319"/>
      <c r="X146" s="320">
        <f t="shared" si="13"/>
        <v>0</v>
      </c>
      <c r="Y146" s="145"/>
    </row>
    <row r="147" spans="1:25" hidden="1" x14ac:dyDescent="0.2">
      <c r="A147" s="135" t="s">
        <v>400</v>
      </c>
      <c r="B147" s="532" t="s">
        <v>431</v>
      </c>
      <c r="C147" s="533"/>
      <c r="D147" s="327">
        <v>10</v>
      </c>
      <c r="E147" s="328" t="s">
        <v>389</v>
      </c>
      <c r="F147" s="321"/>
      <c r="G147" s="313"/>
      <c r="H147" s="313"/>
      <c r="I147" s="313"/>
      <c r="J147" s="313"/>
      <c r="K147" s="313"/>
      <c r="L147" s="313"/>
      <c r="M147" s="313"/>
      <c r="N147" s="313"/>
      <c r="O147" s="313"/>
      <c r="P147" s="324"/>
      <c r="Q147" s="324"/>
      <c r="R147" s="324"/>
      <c r="S147" s="324"/>
      <c r="T147" s="324"/>
      <c r="U147" s="324"/>
      <c r="V147" s="324"/>
      <c r="W147" s="322"/>
      <c r="X147" s="323">
        <f t="shared" si="13"/>
        <v>0</v>
      </c>
      <c r="Y147" s="145"/>
    </row>
    <row r="148" spans="1:25" ht="25.5" hidden="1" x14ac:dyDescent="0.2">
      <c r="B148" s="230"/>
      <c r="C148" s="231"/>
      <c r="D148" s="232">
        <v>30</v>
      </c>
      <c r="E148" s="233" t="s">
        <v>377</v>
      </c>
      <c r="F148" s="234"/>
      <c r="G148" s="235"/>
      <c r="H148" s="235"/>
      <c r="I148" s="235"/>
      <c r="J148" s="235"/>
      <c r="K148" s="235"/>
      <c r="L148" s="235"/>
      <c r="M148" s="235"/>
      <c r="N148" s="235"/>
      <c r="O148" s="235"/>
      <c r="P148" s="236"/>
      <c r="Q148" s="236"/>
      <c r="R148" s="236"/>
      <c r="S148" s="236"/>
      <c r="T148" s="236"/>
      <c r="U148" s="236"/>
      <c r="V148" s="236"/>
      <c r="W148" s="237"/>
      <c r="X148" s="238">
        <f t="shared" si="13"/>
        <v>0</v>
      </c>
      <c r="Y148" s="145"/>
    </row>
    <row r="149" spans="1:25" ht="38.25" hidden="1" x14ac:dyDescent="0.2">
      <c r="B149" s="239" t="s">
        <v>383</v>
      </c>
      <c r="C149" s="329" t="s">
        <v>432</v>
      </c>
      <c r="D149" s="232">
        <v>39</v>
      </c>
      <c r="E149" s="314" t="s">
        <v>433</v>
      </c>
      <c r="F149" s="234"/>
      <c r="G149" s="235"/>
      <c r="H149" s="235">
        <v>100000</v>
      </c>
      <c r="I149" s="235">
        <v>200000</v>
      </c>
      <c r="J149" s="235">
        <v>800000</v>
      </c>
      <c r="K149" s="235">
        <v>800000</v>
      </c>
      <c r="L149" s="235">
        <v>200000</v>
      </c>
      <c r="M149" s="235">
        <v>100000</v>
      </c>
      <c r="N149" s="235">
        <v>100000</v>
      </c>
      <c r="O149" s="235">
        <v>100000</v>
      </c>
      <c r="P149" s="236">
        <v>100000</v>
      </c>
      <c r="Q149" s="236">
        <v>100000</v>
      </c>
      <c r="R149" s="236"/>
      <c r="S149" s="236"/>
      <c r="T149" s="236"/>
      <c r="U149" s="236"/>
      <c r="V149" s="236"/>
      <c r="W149" s="237"/>
      <c r="X149" s="238">
        <f t="shared" si="13"/>
        <v>2600000</v>
      </c>
      <c r="Y149" s="145"/>
    </row>
    <row r="150" spans="1:25" ht="38.25" hidden="1" x14ac:dyDescent="0.2">
      <c r="B150" s="241"/>
      <c r="C150" s="329" t="s">
        <v>434</v>
      </c>
      <c r="D150" s="242">
        <v>39</v>
      </c>
      <c r="E150" s="314" t="s">
        <v>433</v>
      </c>
      <c r="F150" s="234"/>
      <c r="G150" s="235"/>
      <c r="H150" s="235">
        <v>6000000</v>
      </c>
      <c r="I150" s="235">
        <v>6000000</v>
      </c>
      <c r="J150" s="235">
        <v>6000000</v>
      </c>
      <c r="K150" s="235">
        <v>6000000</v>
      </c>
      <c r="L150" s="235">
        <v>6000000</v>
      </c>
      <c r="M150" s="235">
        <v>6000000</v>
      </c>
      <c r="N150" s="235">
        <v>600000</v>
      </c>
      <c r="O150" s="235">
        <v>600000</v>
      </c>
      <c r="P150" s="235">
        <v>600000</v>
      </c>
      <c r="Q150" s="235">
        <v>600000</v>
      </c>
      <c r="R150" s="236"/>
      <c r="S150" s="236"/>
      <c r="T150" s="236"/>
      <c r="U150" s="236"/>
      <c r="V150" s="236"/>
      <c r="W150" s="237"/>
      <c r="X150" s="238">
        <f t="shared" si="13"/>
        <v>38400000</v>
      </c>
      <c r="Y150" s="145"/>
    </row>
    <row r="151" spans="1:25" ht="13.5" hidden="1" thickBot="1" x14ac:dyDescent="0.25">
      <c r="B151" s="243"/>
      <c r="C151" s="243"/>
      <c r="D151" s="244">
        <v>41</v>
      </c>
      <c r="E151" s="330" t="s">
        <v>384</v>
      </c>
      <c r="F151" s="316"/>
      <c r="G151" s="317"/>
      <c r="H151" s="317"/>
      <c r="I151" s="317"/>
      <c r="J151" s="317"/>
      <c r="K151" s="317"/>
      <c r="L151" s="317"/>
      <c r="M151" s="317"/>
      <c r="N151" s="317"/>
      <c r="O151" s="317"/>
      <c r="P151" s="318"/>
      <c r="Q151" s="318"/>
      <c r="R151" s="318"/>
      <c r="S151" s="318"/>
      <c r="T151" s="318"/>
      <c r="U151" s="318"/>
      <c r="V151" s="318"/>
      <c r="W151" s="319"/>
      <c r="X151" s="320">
        <f t="shared" si="13"/>
        <v>0</v>
      </c>
      <c r="Y151" s="145"/>
    </row>
    <row r="152" spans="1:25" hidden="1" x14ac:dyDescent="0.2">
      <c r="B152" s="532" t="s">
        <v>435</v>
      </c>
      <c r="C152" s="533"/>
      <c r="D152" s="327">
        <v>10</v>
      </c>
      <c r="E152" s="331" t="s">
        <v>389</v>
      </c>
      <c r="F152" s="321"/>
      <c r="G152" s="313"/>
      <c r="H152" s="313">
        <v>150000</v>
      </c>
      <c r="I152" s="313">
        <v>150000</v>
      </c>
      <c r="J152" s="313">
        <v>150000</v>
      </c>
      <c r="K152" s="313">
        <v>150000</v>
      </c>
      <c r="L152" s="313">
        <v>150000</v>
      </c>
      <c r="M152" s="313">
        <v>150000</v>
      </c>
      <c r="N152" s="313">
        <v>150000</v>
      </c>
      <c r="O152" s="313">
        <v>150000</v>
      </c>
      <c r="P152" s="313">
        <v>150000</v>
      </c>
      <c r="Q152" s="313">
        <v>150000</v>
      </c>
      <c r="R152" s="324"/>
      <c r="S152" s="324"/>
      <c r="T152" s="324"/>
      <c r="U152" s="324"/>
      <c r="V152" s="324"/>
      <c r="W152" s="322"/>
      <c r="X152" s="323">
        <f t="shared" si="13"/>
        <v>1500000</v>
      </c>
      <c r="Y152" s="145"/>
    </row>
    <row r="153" spans="1:25" hidden="1" x14ac:dyDescent="0.2">
      <c r="B153" s="332" t="s">
        <v>376</v>
      </c>
      <c r="C153" s="333"/>
      <c r="D153" s="334">
        <v>41</v>
      </c>
      <c r="E153" s="335" t="s">
        <v>384</v>
      </c>
      <c r="F153" s="246"/>
      <c r="G153" s="247">
        <v>5000000</v>
      </c>
      <c r="H153" s="247">
        <v>6000000</v>
      </c>
      <c r="I153" s="247">
        <v>6000000</v>
      </c>
      <c r="J153" s="247"/>
      <c r="K153" s="247"/>
      <c r="L153" s="247"/>
      <c r="M153" s="247"/>
      <c r="N153" s="247"/>
      <c r="O153" s="247"/>
      <c r="P153" s="248"/>
      <c r="Q153" s="248"/>
      <c r="R153" s="248"/>
      <c r="S153" s="248"/>
      <c r="T153" s="248"/>
      <c r="U153" s="248"/>
      <c r="V153" s="248"/>
      <c r="W153" s="249"/>
      <c r="X153" s="250">
        <f t="shared" si="13"/>
        <v>17000000</v>
      </c>
      <c r="Y153" s="145"/>
    </row>
    <row r="154" spans="1:25" hidden="1" x14ac:dyDescent="0.2">
      <c r="B154" s="534" t="s">
        <v>436</v>
      </c>
      <c r="C154" s="535"/>
      <c r="D154" s="306">
        <v>10</v>
      </c>
      <c r="E154" s="336" t="s">
        <v>389</v>
      </c>
      <c r="F154" s="308"/>
      <c r="G154" s="309"/>
      <c r="H154" s="309"/>
      <c r="I154" s="309"/>
      <c r="J154" s="309"/>
      <c r="K154" s="309"/>
      <c r="L154" s="309"/>
      <c r="M154" s="309"/>
      <c r="N154" s="309"/>
      <c r="O154" s="309"/>
      <c r="P154" s="310"/>
      <c r="Q154" s="310"/>
      <c r="R154" s="310"/>
      <c r="S154" s="310"/>
      <c r="T154" s="310"/>
      <c r="U154" s="310"/>
      <c r="V154" s="310"/>
      <c r="W154" s="311"/>
      <c r="X154" s="312">
        <f t="shared" si="13"/>
        <v>0</v>
      </c>
      <c r="Y154" s="145"/>
    </row>
    <row r="155" spans="1:25" ht="13.5" hidden="1" thickBot="1" x14ac:dyDescent="0.25">
      <c r="B155" s="337" t="s">
        <v>376</v>
      </c>
      <c r="C155" s="338"/>
      <c r="D155" s="339">
        <v>41</v>
      </c>
      <c r="E155" s="330" t="s">
        <v>384</v>
      </c>
      <c r="F155" s="316"/>
      <c r="G155" s="317">
        <v>5000000</v>
      </c>
      <c r="H155" s="317">
        <v>6000000</v>
      </c>
      <c r="I155" s="317">
        <v>6000000</v>
      </c>
      <c r="J155" s="317"/>
      <c r="K155" s="317"/>
      <c r="L155" s="317"/>
      <c r="M155" s="317"/>
      <c r="N155" s="317"/>
      <c r="O155" s="317"/>
      <c r="P155" s="318"/>
      <c r="Q155" s="318"/>
      <c r="R155" s="318"/>
      <c r="S155" s="318"/>
      <c r="T155" s="318"/>
      <c r="U155" s="318"/>
      <c r="V155" s="318"/>
      <c r="W155" s="319"/>
      <c r="X155" s="320">
        <f t="shared" si="13"/>
        <v>17000000</v>
      </c>
      <c r="Y155" s="145"/>
    </row>
    <row r="156" spans="1:25" hidden="1" x14ac:dyDescent="0.2">
      <c r="A156" s="135" t="s">
        <v>437</v>
      </c>
      <c r="B156" s="534" t="s">
        <v>438</v>
      </c>
      <c r="C156" s="535"/>
      <c r="D156" s="306">
        <v>10</v>
      </c>
      <c r="E156" s="307" t="s">
        <v>389</v>
      </c>
      <c r="F156" s="308"/>
      <c r="G156" s="309"/>
      <c r="H156" s="309">
        <v>200000</v>
      </c>
      <c r="I156" s="309">
        <v>200000</v>
      </c>
      <c r="J156" s="309">
        <v>200000</v>
      </c>
      <c r="K156" s="309">
        <v>200000</v>
      </c>
      <c r="L156" s="309">
        <v>200000</v>
      </c>
      <c r="M156" s="309">
        <v>200000</v>
      </c>
      <c r="N156" s="309">
        <v>200000</v>
      </c>
      <c r="O156" s="309">
        <v>200000</v>
      </c>
      <c r="P156" s="309">
        <v>200000</v>
      </c>
      <c r="Q156" s="309">
        <v>200000</v>
      </c>
      <c r="R156" s="310"/>
      <c r="S156" s="310"/>
      <c r="T156" s="310"/>
      <c r="U156" s="310"/>
      <c r="V156" s="310"/>
      <c r="W156" s="311"/>
      <c r="X156" s="312">
        <f t="shared" si="13"/>
        <v>2000000</v>
      </c>
      <c r="Y156" s="145"/>
    </row>
    <row r="157" spans="1:25" ht="13.5" hidden="1" thickBot="1" x14ac:dyDescent="0.25">
      <c r="B157" s="337" t="s">
        <v>376</v>
      </c>
      <c r="C157" s="338"/>
      <c r="D157" s="339">
        <v>41</v>
      </c>
      <c r="E157" s="330" t="s">
        <v>384</v>
      </c>
      <c r="F157" s="316">
        <v>5075324</v>
      </c>
      <c r="G157" s="317">
        <v>32608</v>
      </c>
      <c r="H157" s="340">
        <f>6400000</f>
        <v>6400000</v>
      </c>
      <c r="I157" s="317">
        <v>5000000</v>
      </c>
      <c r="J157" s="317">
        <v>4000000</v>
      </c>
      <c r="K157" s="317"/>
      <c r="L157" s="317"/>
      <c r="M157" s="317"/>
      <c r="N157" s="317"/>
      <c r="O157" s="317"/>
      <c r="P157" s="318"/>
      <c r="Q157" s="318"/>
      <c r="R157" s="318"/>
      <c r="S157" s="318"/>
      <c r="T157" s="318"/>
      <c r="U157" s="318"/>
      <c r="V157" s="318"/>
      <c r="W157" s="319"/>
      <c r="X157" s="320">
        <f t="shared" si="13"/>
        <v>20507932</v>
      </c>
      <c r="Y157" s="145"/>
    </row>
    <row r="158" spans="1:25" hidden="1" x14ac:dyDescent="0.2">
      <c r="B158" s="534" t="s">
        <v>439</v>
      </c>
      <c r="C158" s="535"/>
      <c r="D158" s="306">
        <v>10</v>
      </c>
      <c r="E158" s="336" t="s">
        <v>389</v>
      </c>
      <c r="F158" s="308"/>
      <c r="G158" s="309"/>
      <c r="H158" s="309">
        <v>150000</v>
      </c>
      <c r="I158" s="309">
        <v>150000</v>
      </c>
      <c r="J158" s="309">
        <v>150000</v>
      </c>
      <c r="K158" s="309">
        <v>150000</v>
      </c>
      <c r="L158" s="309">
        <v>150000</v>
      </c>
      <c r="M158" s="309">
        <v>150000</v>
      </c>
      <c r="N158" s="309">
        <v>150000</v>
      </c>
      <c r="O158" s="309">
        <v>150000</v>
      </c>
      <c r="P158" s="309">
        <v>150000</v>
      </c>
      <c r="Q158" s="309">
        <v>150000</v>
      </c>
      <c r="R158" s="310"/>
      <c r="S158" s="310"/>
      <c r="T158" s="310"/>
      <c r="U158" s="310"/>
      <c r="V158" s="310"/>
      <c r="W158" s="311"/>
      <c r="X158" s="312">
        <f t="shared" si="13"/>
        <v>1500000</v>
      </c>
      <c r="Y158" s="145"/>
    </row>
    <row r="159" spans="1:25" ht="13.5" hidden="1" thickBot="1" x14ac:dyDescent="0.25">
      <c r="B159" s="337" t="s">
        <v>376</v>
      </c>
      <c r="C159" s="338"/>
      <c r="D159" s="339">
        <v>41</v>
      </c>
      <c r="E159" s="330" t="s">
        <v>384</v>
      </c>
      <c r="F159" s="316"/>
      <c r="G159" s="317">
        <v>938000</v>
      </c>
      <c r="H159" s="340">
        <v>1000000</v>
      </c>
      <c r="I159" s="317">
        <v>1100000</v>
      </c>
      <c r="J159" s="317"/>
      <c r="K159" s="317"/>
      <c r="L159" s="317"/>
      <c r="M159" s="317"/>
      <c r="N159" s="317"/>
      <c r="O159" s="317"/>
      <c r="P159" s="318"/>
      <c r="Q159" s="318"/>
      <c r="R159" s="318"/>
      <c r="S159" s="318"/>
      <c r="T159" s="318"/>
      <c r="U159" s="318"/>
      <c r="V159" s="318"/>
      <c r="W159" s="319"/>
      <c r="X159" s="320">
        <f t="shared" si="13"/>
        <v>3038000</v>
      </c>
      <c r="Y159" s="145"/>
    </row>
    <row r="160" spans="1:25" hidden="1" x14ac:dyDescent="0.2">
      <c r="B160" s="341"/>
      <c r="C160" s="341"/>
      <c r="D160" s="342"/>
      <c r="E160" s="245"/>
      <c r="F160" s="246"/>
      <c r="G160" s="247"/>
      <c r="H160" s="247"/>
      <c r="I160" s="247"/>
      <c r="J160" s="247"/>
      <c r="K160" s="247"/>
      <c r="L160" s="247"/>
      <c r="M160" s="247"/>
      <c r="N160" s="247"/>
      <c r="O160" s="247"/>
      <c r="P160" s="248"/>
      <c r="Q160" s="248"/>
      <c r="R160" s="248"/>
      <c r="S160" s="248"/>
      <c r="T160" s="248"/>
      <c r="U160" s="248"/>
      <c r="V160" s="248"/>
      <c r="W160" s="249"/>
      <c r="X160" s="250">
        <f t="shared" si="13"/>
        <v>0</v>
      </c>
      <c r="Y160" s="145"/>
    </row>
    <row r="161" spans="2:25" ht="13.5" hidden="1" thickBot="1" x14ac:dyDescent="0.25">
      <c r="B161" s="536" t="s">
        <v>381</v>
      </c>
      <c r="C161" s="537"/>
      <c r="D161" s="537"/>
      <c r="E161" s="538"/>
      <c r="F161" s="343">
        <f t="shared" ref="F161:W161" si="14">SUM(F62:F160)</f>
        <v>5075324</v>
      </c>
      <c r="G161" s="344">
        <f t="shared" si="14"/>
        <v>10970608</v>
      </c>
      <c r="H161" s="344">
        <f t="shared" si="14"/>
        <v>57785000</v>
      </c>
      <c r="I161" s="344">
        <f t="shared" si="14"/>
        <v>55563000</v>
      </c>
      <c r="J161" s="344">
        <f t="shared" si="14"/>
        <v>48885000</v>
      </c>
      <c r="K161" s="344">
        <f t="shared" si="14"/>
        <v>42998000</v>
      </c>
      <c r="L161" s="344">
        <f t="shared" si="14"/>
        <v>40631000</v>
      </c>
      <c r="M161" s="344">
        <f t="shared" si="14"/>
        <v>37586000</v>
      </c>
      <c r="N161" s="344">
        <f t="shared" si="14"/>
        <v>36063000</v>
      </c>
      <c r="O161" s="344">
        <f t="shared" si="14"/>
        <v>26076000</v>
      </c>
      <c r="P161" s="344">
        <f t="shared" si="14"/>
        <v>26779000</v>
      </c>
      <c r="Q161" s="344">
        <f t="shared" si="14"/>
        <v>27513000</v>
      </c>
      <c r="R161" s="344">
        <f t="shared" si="14"/>
        <v>0</v>
      </c>
      <c r="S161" s="344">
        <f t="shared" si="14"/>
        <v>0</v>
      </c>
      <c r="T161" s="344">
        <f t="shared" si="14"/>
        <v>0</v>
      </c>
      <c r="U161" s="344">
        <f t="shared" si="14"/>
        <v>0</v>
      </c>
      <c r="V161" s="418"/>
      <c r="W161" s="345">
        <f t="shared" si="14"/>
        <v>0</v>
      </c>
      <c r="X161" s="346">
        <f>SUM(X62:X160)</f>
        <v>415924932</v>
      </c>
      <c r="Y161" s="145"/>
    </row>
    <row r="162" spans="2:25" hidden="1" x14ac:dyDescent="0.2">
      <c r="B162" s="347"/>
      <c r="C162" s="347"/>
      <c r="D162" s="347"/>
      <c r="E162" s="348"/>
      <c r="F162" s="349"/>
      <c r="G162" s="350">
        <v>10</v>
      </c>
      <c r="H162" s="351">
        <f>SUMIF($D$62:$D$159,"10",H$62:H$159)</f>
        <v>6518000</v>
      </c>
      <c r="I162" s="351">
        <f t="shared" ref="I162:W162" si="15">SUMIF($D$62:$D$159,"10",I$62:I$159)</f>
        <v>5545000</v>
      </c>
      <c r="J162" s="351">
        <f t="shared" si="15"/>
        <v>4976000</v>
      </c>
      <c r="K162" s="351">
        <f t="shared" si="15"/>
        <v>4531000</v>
      </c>
      <c r="L162" s="351">
        <f t="shared" si="15"/>
        <v>4100000</v>
      </c>
      <c r="M162" s="351">
        <f t="shared" si="15"/>
        <v>4148000</v>
      </c>
      <c r="N162" s="351">
        <f t="shared" si="15"/>
        <v>4057000</v>
      </c>
      <c r="O162" s="351">
        <f t="shared" si="15"/>
        <v>4103000</v>
      </c>
      <c r="P162" s="351">
        <f t="shared" si="15"/>
        <v>4147000</v>
      </c>
      <c r="Q162" s="351">
        <f t="shared" si="15"/>
        <v>4200000</v>
      </c>
      <c r="R162" s="351">
        <f t="shared" si="15"/>
        <v>0</v>
      </c>
      <c r="S162" s="351">
        <f t="shared" si="15"/>
        <v>0</v>
      </c>
      <c r="T162" s="351">
        <f t="shared" si="15"/>
        <v>0</v>
      </c>
      <c r="U162" s="351">
        <f t="shared" si="15"/>
        <v>0</v>
      </c>
      <c r="V162" s="351"/>
      <c r="W162" s="351">
        <f t="shared" si="15"/>
        <v>0</v>
      </c>
      <c r="X162" s="349"/>
      <c r="Y162" s="290">
        <f t="shared" ref="Y162:Y167" si="16">SUM(H162:W162)</f>
        <v>46325000</v>
      </c>
    </row>
    <row r="163" spans="2:25" hidden="1" x14ac:dyDescent="0.2">
      <c r="B163" s="347"/>
      <c r="C163" s="347"/>
      <c r="D163" s="347"/>
      <c r="E163" s="348"/>
      <c r="F163" s="349"/>
      <c r="G163" s="350">
        <v>37</v>
      </c>
      <c r="H163" s="351">
        <f>SUMIF($D$62:$D$159,"37",H$62:H$159)</f>
        <v>14165000</v>
      </c>
      <c r="I163" s="351">
        <f t="shared" ref="I163:W163" si="17">SUMIF($D$62:$D$159,"37",I$62:I$159)</f>
        <v>13490000</v>
      </c>
      <c r="J163" s="351">
        <f t="shared" si="17"/>
        <v>13902000</v>
      </c>
      <c r="K163" s="351">
        <f t="shared" si="17"/>
        <v>13729000</v>
      </c>
      <c r="L163" s="351">
        <f t="shared" si="17"/>
        <v>12571000</v>
      </c>
      <c r="M163" s="351">
        <f t="shared" si="17"/>
        <v>13923000</v>
      </c>
      <c r="N163" s="351">
        <f t="shared" si="17"/>
        <v>13650000</v>
      </c>
      <c r="O163" s="351">
        <f t="shared" si="17"/>
        <v>13003000</v>
      </c>
      <c r="P163" s="351">
        <f t="shared" si="17"/>
        <v>13372000</v>
      </c>
      <c r="Q163" s="351">
        <f t="shared" si="17"/>
        <v>13753000</v>
      </c>
      <c r="R163" s="351">
        <f t="shared" si="17"/>
        <v>0</v>
      </c>
      <c r="S163" s="351">
        <f t="shared" si="17"/>
        <v>0</v>
      </c>
      <c r="T163" s="351">
        <f t="shared" si="17"/>
        <v>0</v>
      </c>
      <c r="U163" s="351">
        <f t="shared" si="17"/>
        <v>0</v>
      </c>
      <c r="V163" s="351"/>
      <c r="W163" s="351">
        <f t="shared" si="17"/>
        <v>0</v>
      </c>
      <c r="X163" s="349"/>
      <c r="Y163" s="290">
        <f t="shared" si="16"/>
        <v>135558000</v>
      </c>
    </row>
    <row r="164" spans="2:25" hidden="1" x14ac:dyDescent="0.2">
      <c r="B164" s="347"/>
      <c r="C164" s="347"/>
      <c r="D164" s="347"/>
      <c r="E164" s="348"/>
      <c r="F164" s="349"/>
      <c r="G164" s="350">
        <v>30</v>
      </c>
      <c r="H164" s="351">
        <f>SUMIF($D$62:$D$159,"30",H$62:H$159)</f>
        <v>2640000</v>
      </c>
      <c r="I164" s="351">
        <f t="shared" ref="I164:W164" si="18">SUMIF($D$62:$D$159,"30",I$62:I$159)</f>
        <v>5300000</v>
      </c>
      <c r="J164" s="351">
        <f t="shared" si="18"/>
        <v>11921000</v>
      </c>
      <c r="K164" s="351">
        <f t="shared" si="18"/>
        <v>10631000</v>
      </c>
      <c r="L164" s="351">
        <f t="shared" si="18"/>
        <v>10062000</v>
      </c>
      <c r="M164" s="351">
        <f t="shared" si="18"/>
        <v>5695000</v>
      </c>
      <c r="N164" s="351">
        <f t="shared" si="18"/>
        <v>9666000</v>
      </c>
      <c r="O164" s="351">
        <f t="shared" si="18"/>
        <v>0</v>
      </c>
      <c r="P164" s="351">
        <f t="shared" si="18"/>
        <v>0</v>
      </c>
      <c r="Q164" s="351">
        <f t="shared" si="18"/>
        <v>0</v>
      </c>
      <c r="R164" s="351">
        <f t="shared" si="18"/>
        <v>0</v>
      </c>
      <c r="S164" s="351">
        <f t="shared" si="18"/>
        <v>0</v>
      </c>
      <c r="T164" s="351">
        <f t="shared" si="18"/>
        <v>0</v>
      </c>
      <c r="U164" s="351">
        <f t="shared" si="18"/>
        <v>0</v>
      </c>
      <c r="V164" s="351"/>
      <c r="W164" s="351">
        <f t="shared" si="18"/>
        <v>0</v>
      </c>
      <c r="X164" s="349"/>
      <c r="Y164" s="290">
        <f t="shared" si="16"/>
        <v>55915000</v>
      </c>
    </row>
    <row r="165" spans="2:25" hidden="1" x14ac:dyDescent="0.2">
      <c r="B165" s="347"/>
      <c r="C165" s="347"/>
      <c r="D165" s="347"/>
      <c r="E165" s="348"/>
      <c r="F165" s="349"/>
      <c r="G165" s="350">
        <v>41</v>
      </c>
      <c r="H165" s="351">
        <f>SUMIF($D$62:$D$159,"41",H$62:H$159)</f>
        <v>21862000</v>
      </c>
      <c r="I165" s="351">
        <f t="shared" ref="I165:W165" si="19">SUMIF($D$62:$D$159,"41",I$62:I$159)</f>
        <v>18300000</v>
      </c>
      <c r="J165" s="351">
        <f t="shared" si="19"/>
        <v>4323000</v>
      </c>
      <c r="K165" s="351">
        <f t="shared" si="19"/>
        <v>100000</v>
      </c>
      <c r="L165" s="351">
        <f t="shared" si="19"/>
        <v>239000</v>
      </c>
      <c r="M165" s="351">
        <f t="shared" si="19"/>
        <v>0</v>
      </c>
      <c r="N165" s="351">
        <f t="shared" si="19"/>
        <v>0</v>
      </c>
      <c r="O165" s="351">
        <f t="shared" si="19"/>
        <v>0</v>
      </c>
      <c r="P165" s="351">
        <f t="shared" si="19"/>
        <v>0</v>
      </c>
      <c r="Q165" s="351">
        <f t="shared" si="19"/>
        <v>0</v>
      </c>
      <c r="R165" s="351">
        <f t="shared" si="19"/>
        <v>0</v>
      </c>
      <c r="S165" s="351">
        <f t="shared" si="19"/>
        <v>0</v>
      </c>
      <c r="T165" s="351">
        <f t="shared" si="19"/>
        <v>0</v>
      </c>
      <c r="U165" s="351">
        <f t="shared" si="19"/>
        <v>0</v>
      </c>
      <c r="V165" s="351"/>
      <c r="W165" s="351">
        <f t="shared" si="19"/>
        <v>0</v>
      </c>
      <c r="X165" s="349"/>
      <c r="Y165" s="290">
        <f t="shared" si="16"/>
        <v>44824000</v>
      </c>
    </row>
    <row r="166" spans="2:25" hidden="1" x14ac:dyDescent="0.2">
      <c r="B166" s="347"/>
      <c r="C166" s="347"/>
      <c r="D166" s="347"/>
      <c r="E166" s="348"/>
      <c r="F166" s="349"/>
      <c r="G166" s="350">
        <v>39</v>
      </c>
      <c r="H166" s="351">
        <f>SUMIF($D$62:$D$159,"39",H$62:H$159)</f>
        <v>6100000</v>
      </c>
      <c r="I166" s="351">
        <f t="shared" ref="I166:W166" si="20">SUMIF($D$62:$D$159,"39",I$62:I$159)</f>
        <v>6200000</v>
      </c>
      <c r="J166" s="351">
        <f t="shared" si="20"/>
        <v>6800000</v>
      </c>
      <c r="K166" s="351">
        <f t="shared" si="20"/>
        <v>6800000</v>
      </c>
      <c r="L166" s="351">
        <f t="shared" si="20"/>
        <v>6200000</v>
      </c>
      <c r="M166" s="351">
        <f t="shared" si="20"/>
        <v>6100000</v>
      </c>
      <c r="N166" s="351">
        <f t="shared" si="20"/>
        <v>700000</v>
      </c>
      <c r="O166" s="351">
        <f t="shared" si="20"/>
        <v>700000</v>
      </c>
      <c r="P166" s="351">
        <f t="shared" si="20"/>
        <v>700000</v>
      </c>
      <c r="Q166" s="351">
        <f t="shared" si="20"/>
        <v>700000</v>
      </c>
      <c r="R166" s="351">
        <f t="shared" si="20"/>
        <v>0</v>
      </c>
      <c r="S166" s="351">
        <f t="shared" si="20"/>
        <v>0</v>
      </c>
      <c r="T166" s="351">
        <f t="shared" si="20"/>
        <v>0</v>
      </c>
      <c r="U166" s="351">
        <f t="shared" si="20"/>
        <v>0</v>
      </c>
      <c r="V166" s="351"/>
      <c r="W166" s="351">
        <f t="shared" si="20"/>
        <v>0</v>
      </c>
      <c r="X166" s="349"/>
      <c r="Y166" s="290">
        <f t="shared" si="16"/>
        <v>41000000</v>
      </c>
    </row>
    <row r="167" spans="2:25" hidden="1" x14ac:dyDescent="0.2">
      <c r="B167" s="347"/>
      <c r="C167" s="347"/>
      <c r="D167" s="347"/>
      <c r="E167" s="348"/>
      <c r="F167" s="349"/>
      <c r="G167" s="350">
        <v>99</v>
      </c>
      <c r="H167" s="351">
        <f>SUMIF($D$62:$D$159,"99",H$62:H$159)</f>
        <v>6500000</v>
      </c>
      <c r="I167" s="351">
        <f t="shared" ref="I167:W167" si="21">SUMIF($D$62:$D$159,"99",I$62:I$159)</f>
        <v>6728000</v>
      </c>
      <c r="J167" s="351">
        <f t="shared" si="21"/>
        <v>6963000</v>
      </c>
      <c r="K167" s="351">
        <f t="shared" si="21"/>
        <v>7207000</v>
      </c>
      <c r="L167" s="351">
        <f t="shared" si="21"/>
        <v>7459000</v>
      </c>
      <c r="M167" s="351">
        <f t="shared" si="21"/>
        <v>7720000</v>
      </c>
      <c r="N167" s="351">
        <f t="shared" si="21"/>
        <v>7990000</v>
      </c>
      <c r="O167" s="351">
        <f t="shared" si="21"/>
        <v>8270000</v>
      </c>
      <c r="P167" s="351">
        <f t="shared" si="21"/>
        <v>8560000</v>
      </c>
      <c r="Q167" s="351">
        <f t="shared" si="21"/>
        <v>8860000</v>
      </c>
      <c r="R167" s="351">
        <f t="shared" si="21"/>
        <v>0</v>
      </c>
      <c r="S167" s="351">
        <f t="shared" si="21"/>
        <v>0</v>
      </c>
      <c r="T167" s="351">
        <f t="shared" si="21"/>
        <v>0</v>
      </c>
      <c r="U167" s="351">
        <f t="shared" si="21"/>
        <v>0</v>
      </c>
      <c r="V167" s="351"/>
      <c r="W167" s="351">
        <f t="shared" si="21"/>
        <v>0</v>
      </c>
      <c r="X167" s="349"/>
      <c r="Y167" s="290">
        <f t="shared" si="16"/>
        <v>76257000</v>
      </c>
    </row>
    <row r="168" spans="2:25" hidden="1" x14ac:dyDescent="0.2">
      <c r="B168" s="347"/>
      <c r="C168" s="347"/>
      <c r="D168" s="347"/>
      <c r="E168" s="348"/>
      <c r="F168" s="349"/>
      <c r="G168" s="349"/>
      <c r="H168" s="349"/>
      <c r="I168" s="349"/>
      <c r="J168" s="349"/>
      <c r="K168" s="349"/>
      <c r="L168" s="349"/>
      <c r="M168" s="349"/>
      <c r="N168" s="349"/>
      <c r="O168" s="349"/>
      <c r="P168" s="349"/>
      <c r="Q168" s="349"/>
      <c r="R168" s="349"/>
      <c r="S168" s="349"/>
      <c r="T168" s="349"/>
      <c r="U168" s="349"/>
      <c r="V168" s="349"/>
      <c r="W168" s="349"/>
      <c r="X168" s="349"/>
      <c r="Y168" s="352">
        <f>SUM(Y162:Y167)</f>
        <v>399879000</v>
      </c>
    </row>
    <row r="169" spans="2:25" ht="13.15" customHeight="1" x14ac:dyDescent="0.2">
      <c r="B169" s="353" t="s">
        <v>440</v>
      </c>
      <c r="C169" s="354"/>
      <c r="D169" s="355"/>
      <c r="E169" s="354"/>
      <c r="F169" s="354"/>
      <c r="G169" s="354"/>
      <c r="H169" s="354"/>
      <c r="I169" s="354"/>
      <c r="J169" s="354"/>
      <c r="K169" s="145"/>
      <c r="L169" s="145"/>
      <c r="M169" s="145"/>
      <c r="N169" s="145"/>
      <c r="O169" s="145"/>
      <c r="P169" s="145"/>
      <c r="Q169" s="145"/>
      <c r="R169" s="145"/>
      <c r="S169" s="145"/>
      <c r="T169" s="145"/>
      <c r="U169" s="145"/>
      <c r="V169" s="145"/>
      <c r="W169" s="145"/>
      <c r="X169" s="356"/>
      <c r="Y169" s="145"/>
    </row>
    <row r="170" spans="2:25" x14ac:dyDescent="0.2">
      <c r="B170" s="357" t="s">
        <v>441</v>
      </c>
      <c r="C170" s="358"/>
      <c r="D170" s="359"/>
      <c r="E170" s="358"/>
      <c r="F170" s="358"/>
      <c r="G170" s="358"/>
      <c r="H170" s="358"/>
      <c r="I170" s="358"/>
      <c r="J170" s="358"/>
      <c r="X170" s="360">
        <f>SUM(F161:W161)</f>
        <v>415924932</v>
      </c>
    </row>
    <row r="171" spans="2:25" x14ac:dyDescent="0.2">
      <c r="B171" s="136" t="s">
        <v>12</v>
      </c>
      <c r="F171" s="361">
        <f t="shared" ref="F171:O171" si="22">SUM(F6:F54,F159)</f>
        <v>289448251.41999996</v>
      </c>
      <c r="G171" s="361">
        <f t="shared" si="22"/>
        <v>252088950</v>
      </c>
      <c r="H171" s="361">
        <f t="shared" si="22"/>
        <v>176617400</v>
      </c>
      <c r="I171" s="361">
        <f t="shared" si="22"/>
        <v>33040000</v>
      </c>
      <c r="J171" s="361">
        <f t="shared" si="22"/>
        <v>3000000</v>
      </c>
      <c r="K171" s="361">
        <f t="shared" si="22"/>
        <v>3500000</v>
      </c>
      <c r="L171" s="361">
        <f t="shared" si="22"/>
        <v>3800000</v>
      </c>
      <c r="M171" s="361">
        <f t="shared" si="22"/>
        <v>3000000</v>
      </c>
      <c r="N171" s="361">
        <f t="shared" si="22"/>
        <v>3500000</v>
      </c>
      <c r="O171" s="361">
        <f t="shared" si="22"/>
        <v>3800000</v>
      </c>
      <c r="P171" s="361"/>
      <c r="Q171" s="361"/>
      <c r="R171" s="361"/>
      <c r="S171" s="361"/>
      <c r="T171" s="361"/>
      <c r="U171" s="361"/>
      <c r="V171" s="361"/>
      <c r="W171" s="361">
        <f>SUM(W6:W54,W159)</f>
        <v>1500000</v>
      </c>
    </row>
    <row r="172" spans="2:25" x14ac:dyDescent="0.2">
      <c r="B172" s="136" t="s">
        <v>13</v>
      </c>
      <c r="F172" s="361">
        <f>SUM(F154:F157)</f>
        <v>5075324</v>
      </c>
      <c r="G172" s="361">
        <f t="shared" ref="G172:W172" si="23">SUM(G154:G157)</f>
        <v>5032608</v>
      </c>
      <c r="H172" s="361">
        <f t="shared" si="23"/>
        <v>12600000</v>
      </c>
      <c r="I172" s="361">
        <f t="shared" si="23"/>
        <v>11200000</v>
      </c>
      <c r="J172" s="361">
        <f t="shared" si="23"/>
        <v>4200000</v>
      </c>
      <c r="K172" s="361">
        <f t="shared" si="23"/>
        <v>200000</v>
      </c>
      <c r="L172" s="361">
        <f t="shared" si="23"/>
        <v>200000</v>
      </c>
      <c r="M172" s="361">
        <f t="shared" si="23"/>
        <v>200000</v>
      </c>
      <c r="N172" s="361">
        <f t="shared" si="23"/>
        <v>200000</v>
      </c>
      <c r="O172" s="361">
        <f t="shared" si="23"/>
        <v>200000</v>
      </c>
      <c r="P172" s="361"/>
      <c r="Q172" s="361"/>
      <c r="R172" s="361"/>
      <c r="S172" s="361"/>
      <c r="T172" s="361"/>
      <c r="U172" s="361"/>
      <c r="V172" s="361"/>
      <c r="W172" s="361">
        <f t="shared" si="23"/>
        <v>0</v>
      </c>
    </row>
    <row r="173" spans="2:25" x14ac:dyDescent="0.2">
      <c r="B173" s="362" t="s">
        <v>442</v>
      </c>
      <c r="F173" s="361">
        <f>SUM(F5:F15,  F147:F151,F158:F159)</f>
        <v>214978150.10999998</v>
      </c>
      <c r="G173" s="361">
        <f>SUM(G5:G15,  G147:G151,G158:G159)</f>
        <v>126513475</v>
      </c>
    </row>
    <row r="176" spans="2:25" x14ac:dyDescent="0.2">
      <c r="F176" s="362" t="s">
        <v>443</v>
      </c>
    </row>
    <row r="177" spans="2:32" x14ac:dyDescent="0.2">
      <c r="F177" s="362" t="s">
        <v>444</v>
      </c>
      <c r="G177" s="362" t="s">
        <v>445</v>
      </c>
      <c r="H177" s="362" t="s">
        <v>446</v>
      </c>
      <c r="I177" s="362" t="s">
        <v>447</v>
      </c>
      <c r="J177" s="362" t="s">
        <v>448</v>
      </c>
      <c r="K177" s="362" t="s">
        <v>449</v>
      </c>
      <c r="L177" s="362" t="s">
        <v>450</v>
      </c>
      <c r="M177" s="362" t="s">
        <v>451</v>
      </c>
      <c r="N177" s="362" t="s">
        <v>452</v>
      </c>
      <c r="O177" s="362" t="s">
        <v>453</v>
      </c>
      <c r="P177" s="362"/>
      <c r="Q177" s="362"/>
      <c r="R177" s="362"/>
      <c r="S177" s="362"/>
      <c r="T177" s="362"/>
      <c r="U177" s="362"/>
      <c r="V177" s="362"/>
      <c r="W177" s="362" t="s">
        <v>454</v>
      </c>
      <c r="X177" s="362" t="s">
        <v>455</v>
      </c>
      <c r="Y177" s="362" t="s">
        <v>456</v>
      </c>
      <c r="Z177" s="362" t="s">
        <v>445</v>
      </c>
      <c r="AA177" s="362" t="s">
        <v>446</v>
      </c>
      <c r="AB177" s="362" t="s">
        <v>447</v>
      </c>
      <c r="AC177" s="362" t="s">
        <v>448</v>
      </c>
      <c r="AD177" s="362" t="s">
        <v>449</v>
      </c>
    </row>
    <row r="178" spans="2:32" x14ac:dyDescent="0.2">
      <c r="F178" s="363">
        <v>3.4704536855895196E-2</v>
      </c>
      <c r="G178" s="363">
        <v>4.4048583755458504E-2</v>
      </c>
      <c r="H178" s="363">
        <v>9.0523622663755438E-2</v>
      </c>
      <c r="I178" s="363">
        <v>7.4717043318777307E-2</v>
      </c>
      <c r="J178" s="363">
        <v>8.9392467991266378E-2</v>
      </c>
      <c r="K178" s="363">
        <v>9.1825035589519641E-2</v>
      </c>
      <c r="L178" s="363">
        <v>9.2724725895196508E-2</v>
      </c>
      <c r="M178" s="363">
        <v>8.992031960698689E-2</v>
      </c>
      <c r="N178" s="363">
        <v>8.5313075633187768E-2</v>
      </c>
      <c r="O178" s="363">
        <v>6.7285247205240178E-2</v>
      </c>
      <c r="P178" s="363"/>
      <c r="Q178" s="363"/>
      <c r="R178" s="363"/>
      <c r="S178" s="363"/>
      <c r="T178" s="363"/>
      <c r="U178" s="363"/>
      <c r="V178" s="363"/>
      <c r="W178" s="363">
        <v>6.0812212707423582E-2</v>
      </c>
      <c r="X178" s="363">
        <v>5.5810178646288219E-2</v>
      </c>
      <c r="Y178" s="363">
        <v>2.4117473668122273E-2</v>
      </c>
      <c r="Z178" s="363">
        <v>1.4497059781659388E-2</v>
      </c>
      <c r="AA178" s="363">
        <v>1.1296400829694324E-2</v>
      </c>
      <c r="AB178" s="363">
        <v>3.6501494323144105E-3</v>
      </c>
      <c r="AC178" s="363">
        <v>8.5904366812227073E-6</v>
      </c>
      <c r="AD178" s="363">
        <v>6.7907532751091699E-3</v>
      </c>
    </row>
    <row r="180" spans="2:32" x14ac:dyDescent="0.2">
      <c r="W180" s="363">
        <f>SUM(F178:W178)</f>
        <v>0.82126687122270736</v>
      </c>
      <c r="AD180" s="363">
        <f>SUM(X178:AD178)+0.07</f>
        <v>0.18617060606986902</v>
      </c>
      <c r="AF180" s="363">
        <f>AD180+W180</f>
        <v>1.0074374772925765</v>
      </c>
    </row>
    <row r="184" spans="2:32" ht="17.25" x14ac:dyDescent="0.2">
      <c r="B184" s="364" t="s">
        <v>457</v>
      </c>
    </row>
    <row r="185" spans="2:32" ht="17.25" x14ac:dyDescent="0.2">
      <c r="B185" s="364" t="s">
        <v>458</v>
      </c>
    </row>
    <row r="186" spans="2:32" ht="17.25" x14ac:dyDescent="0.2">
      <c r="B186" s="364" t="s">
        <v>459</v>
      </c>
    </row>
    <row r="187" spans="2:32" ht="17.25" x14ac:dyDescent="0.2">
      <c r="B187" s="364" t="s">
        <v>460</v>
      </c>
    </row>
    <row r="188" spans="2:32" ht="17.25" x14ac:dyDescent="0.2">
      <c r="B188" s="364" t="s">
        <v>461</v>
      </c>
    </row>
    <row r="189" spans="2:32" ht="15" x14ac:dyDescent="0.2">
      <c r="B189" s="364" t="s">
        <v>462</v>
      </c>
    </row>
  </sheetData>
  <mergeCells count="41">
    <mergeCell ref="B31:C31"/>
    <mergeCell ref="B3:C4"/>
    <mergeCell ref="E3:E4"/>
    <mergeCell ref="F3:X3"/>
    <mergeCell ref="B5:C5"/>
    <mergeCell ref="B10:D10"/>
    <mergeCell ref="B11:C11"/>
    <mergeCell ref="B16:D16"/>
    <mergeCell ref="B17:C17"/>
    <mergeCell ref="B22:D22"/>
    <mergeCell ref="B23:X23"/>
    <mergeCell ref="B24:C24"/>
    <mergeCell ref="B87:C87"/>
    <mergeCell ref="B37:C37"/>
    <mergeCell ref="B43:C43"/>
    <mergeCell ref="B49:C49"/>
    <mergeCell ref="B55:D55"/>
    <mergeCell ref="B56:D56"/>
    <mergeCell ref="B61:X61"/>
    <mergeCell ref="B62:C62"/>
    <mergeCell ref="B67:C67"/>
    <mergeCell ref="B72:C72"/>
    <mergeCell ref="B77:C77"/>
    <mergeCell ref="B82:C82"/>
    <mergeCell ref="B147:C147"/>
    <mergeCell ref="B92:C92"/>
    <mergeCell ref="B97:C97"/>
    <mergeCell ref="B102:C102"/>
    <mergeCell ref="B107:C107"/>
    <mergeCell ref="B112:C112"/>
    <mergeCell ref="B117:C117"/>
    <mergeCell ref="B122:C122"/>
    <mergeCell ref="B127:C127"/>
    <mergeCell ref="B132:C132"/>
    <mergeCell ref="B137:C137"/>
    <mergeCell ref="B142:C142"/>
    <mergeCell ref="B152:C152"/>
    <mergeCell ref="B154:C154"/>
    <mergeCell ref="B156:C156"/>
    <mergeCell ref="B158:C158"/>
    <mergeCell ref="B161:E161"/>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5" customWidth="1"/>
    <col min="2" max="2" width="11.140625" style="5" customWidth="1"/>
    <col min="3" max="3" width="11.5703125" customWidth="1"/>
    <col min="4" max="4" width="11.5703125" style="5" customWidth="1"/>
    <col min="5" max="5" width="11.28515625" style="5" customWidth="1"/>
    <col min="6" max="6" width="10.42578125" style="5" customWidth="1"/>
    <col min="7" max="7" width="10.28515625" style="5"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5" t="s">
        <v>562</v>
      </c>
      <c r="B1" s="43"/>
      <c r="D1" s="106"/>
      <c r="E1" s="28"/>
    </row>
    <row r="2" spans="1:13" ht="33" customHeight="1" thickBot="1" x14ac:dyDescent="0.3">
      <c r="A2" s="628" t="s">
        <v>53</v>
      </c>
      <c r="B2" s="629"/>
      <c r="D2" s="630" t="s">
        <v>54</v>
      </c>
      <c r="E2" s="631"/>
      <c r="F2" s="631"/>
      <c r="G2" s="632"/>
    </row>
    <row r="3" spans="1:13" ht="36" customHeight="1" x14ac:dyDescent="0.25">
      <c r="A3" s="13" t="s">
        <v>84</v>
      </c>
      <c r="B3" s="15" t="str">
        <f>IF('NPV Summary'!O5= "Treated","Tier 1 Treated     ($/Acre-Ft)", IF('NPV Summary'!O5 = "Untreated", "Tier 1 Untreated         ($/Acre-Ft)",0))</f>
        <v>Tier 1 Treated     ($/Acre-Ft)</v>
      </c>
      <c r="D3" s="13" t="s">
        <v>84</v>
      </c>
      <c r="E3" s="14" t="s">
        <v>85</v>
      </c>
      <c r="F3" s="14" t="s">
        <v>86</v>
      </c>
      <c r="G3" s="15" t="s">
        <v>87</v>
      </c>
    </row>
    <row r="4" spans="1:13" ht="15.75" customHeight="1" thickBot="1" x14ac:dyDescent="0.3">
      <c r="A4" s="16"/>
      <c r="B4" s="19"/>
      <c r="D4" s="16"/>
      <c r="E4" s="17"/>
      <c r="F4" s="17"/>
      <c r="G4" s="18"/>
    </row>
    <row r="5" spans="1:13" x14ac:dyDescent="0.25">
      <c r="A5" s="20">
        <v>2007</v>
      </c>
      <c r="B5" s="490">
        <f>IF('NPV Summary'!$O$5= "Treated",F5, IF('NPV Summary'!$O$5 = "Untreated",G5,0))</f>
        <v>478</v>
      </c>
      <c r="D5" s="20">
        <v>2007</v>
      </c>
      <c r="E5" s="24" t="s">
        <v>102</v>
      </c>
      <c r="F5" s="481">
        <v>478</v>
      </c>
      <c r="G5" s="482">
        <v>331</v>
      </c>
      <c r="I5" s="379" t="s">
        <v>480</v>
      </c>
      <c r="J5" s="379"/>
      <c r="K5" s="379"/>
      <c r="L5" s="379"/>
      <c r="M5" s="379"/>
    </row>
    <row r="6" spans="1:13" x14ac:dyDescent="0.25">
      <c r="A6" s="30">
        <f t="shared" ref="A6:A37" si="0">A5+1</f>
        <v>2008</v>
      </c>
      <c r="B6" s="490">
        <f>IF('NPV Summary'!$O$5= "Treated",F6, IF('NPV Summary'!$O$5 = "Untreated",G6,0))</f>
        <v>508</v>
      </c>
      <c r="D6" s="31">
        <f t="shared" ref="D6:D37" si="1">D5+1</f>
        <v>2008</v>
      </c>
      <c r="E6" s="32" t="s">
        <v>102</v>
      </c>
      <c r="F6" s="481">
        <v>508</v>
      </c>
      <c r="G6" s="482">
        <v>351</v>
      </c>
      <c r="I6" s="386" t="s">
        <v>485</v>
      </c>
      <c r="J6" s="387"/>
      <c r="K6" s="386"/>
      <c r="L6" s="387"/>
      <c r="M6" s="386"/>
    </row>
    <row r="7" spans="1:13" x14ac:dyDescent="0.25">
      <c r="A7" s="20">
        <f t="shared" si="0"/>
        <v>2009</v>
      </c>
      <c r="B7" s="490">
        <f>IF('NPV Summary'!$O$5= "Treated",F7, IF('NPV Summary'!$O$5 = "Untreated",G7,0))</f>
        <v>579</v>
      </c>
      <c r="D7" s="21">
        <f t="shared" si="1"/>
        <v>2009</v>
      </c>
      <c r="E7" s="24" t="s">
        <v>102</v>
      </c>
      <c r="F7" s="481">
        <v>579</v>
      </c>
      <c r="G7" s="482">
        <v>412</v>
      </c>
    </row>
    <row r="8" spans="1:13" x14ac:dyDescent="0.25">
      <c r="A8" s="30">
        <f t="shared" si="0"/>
        <v>2010</v>
      </c>
      <c r="B8" s="490">
        <f>IF('NPV Summary'!$O$5= "Treated",F8, IF('NPV Summary'!$O$5 = "Untreated",G8,0))</f>
        <v>701</v>
      </c>
      <c r="D8" s="31">
        <f t="shared" si="1"/>
        <v>2010</v>
      </c>
      <c r="E8" s="32" t="s">
        <v>102</v>
      </c>
      <c r="F8" s="481">
        <v>701</v>
      </c>
      <c r="G8" s="482">
        <v>484</v>
      </c>
    </row>
    <row r="9" spans="1:13" x14ac:dyDescent="0.25">
      <c r="A9" s="20">
        <f t="shared" si="0"/>
        <v>2011</v>
      </c>
      <c r="B9" s="490">
        <f>IF('NPV Summary'!$O$5= "Treated",F9, IF('NPV Summary'!$O$5 = "Untreated",G9,0))</f>
        <v>744</v>
      </c>
      <c r="D9" s="21">
        <f t="shared" si="1"/>
        <v>2011</v>
      </c>
      <c r="E9" s="24" t="s">
        <v>102</v>
      </c>
      <c r="F9" s="481">
        <v>744</v>
      </c>
      <c r="G9" s="482">
        <v>527</v>
      </c>
    </row>
    <row r="10" spans="1:13" x14ac:dyDescent="0.25">
      <c r="A10" s="30">
        <f t="shared" si="0"/>
        <v>2012</v>
      </c>
      <c r="B10" s="490">
        <f>IF('NPV Summary'!$O$5= "Treated",F10, IF('NPV Summary'!$O$5 = "Untreated",G10,0))</f>
        <v>794</v>
      </c>
      <c r="D10" s="31">
        <f t="shared" si="1"/>
        <v>2012</v>
      </c>
      <c r="E10" s="32" t="s">
        <v>102</v>
      </c>
      <c r="F10" s="481">
        <v>794</v>
      </c>
      <c r="G10" s="482">
        <v>560</v>
      </c>
    </row>
    <row r="11" spans="1:13" x14ac:dyDescent="0.25">
      <c r="A11" s="20">
        <f t="shared" si="0"/>
        <v>2013</v>
      </c>
      <c r="B11" s="490">
        <f>IF('NPV Summary'!$O$5= "Treated",F11, IF('NPV Summary'!$O$5 = "Untreated",G11,0))</f>
        <v>847</v>
      </c>
      <c r="D11" s="21">
        <f t="shared" si="1"/>
        <v>2013</v>
      </c>
      <c r="E11" s="24" t="s">
        <v>102</v>
      </c>
      <c r="F11" s="481">
        <v>847</v>
      </c>
      <c r="G11" s="482">
        <v>593</v>
      </c>
    </row>
    <row r="12" spans="1:13" x14ac:dyDescent="0.25">
      <c r="A12" s="30">
        <f t="shared" si="0"/>
        <v>2014</v>
      </c>
      <c r="B12" s="491">
        <f>IF('NPV Summary'!$O$5= "Treated",F12, IF('NPV Summary'!$O$5 = "Untreated",G12,0))</f>
        <v>890</v>
      </c>
      <c r="D12" s="31">
        <f t="shared" si="1"/>
        <v>2014</v>
      </c>
      <c r="E12" s="130" t="s">
        <v>102</v>
      </c>
      <c r="F12" s="483">
        <v>890</v>
      </c>
      <c r="G12" s="484">
        <v>593</v>
      </c>
    </row>
    <row r="13" spans="1:13" x14ac:dyDescent="0.25">
      <c r="A13" s="42">
        <f t="shared" si="0"/>
        <v>2015</v>
      </c>
      <c r="B13" s="492">
        <f>IF('NPV Summary'!$O$5= "Treated",F13, IF('NPV Summary'!$O$5 = "Untreated",G13,0))</f>
        <v>923</v>
      </c>
      <c r="D13" s="42">
        <f t="shared" si="1"/>
        <v>2015</v>
      </c>
      <c r="E13" s="131" t="s">
        <v>102</v>
      </c>
      <c r="F13" s="485">
        <v>923</v>
      </c>
      <c r="G13" s="486">
        <v>582</v>
      </c>
    </row>
    <row r="14" spans="1:13" x14ac:dyDescent="0.25">
      <c r="A14" s="39">
        <f t="shared" si="0"/>
        <v>2016</v>
      </c>
      <c r="B14" s="492">
        <f>IF('NPV Summary'!$O$5= "Treated",F14, IF('NPV Summary'!$O$5 = "Untreated",G14,0))</f>
        <v>942</v>
      </c>
      <c r="D14" s="39">
        <f t="shared" si="1"/>
        <v>2016</v>
      </c>
      <c r="E14" s="132" t="s">
        <v>102</v>
      </c>
      <c r="F14" s="485">
        <v>942</v>
      </c>
      <c r="G14" s="486">
        <v>594</v>
      </c>
    </row>
    <row r="15" spans="1:13" x14ac:dyDescent="0.25">
      <c r="A15" s="42">
        <f t="shared" si="0"/>
        <v>2017</v>
      </c>
      <c r="B15" s="488">
        <f>IF('NPV Summary'!$O$5= "Treated",F15, IF('NPV Summary'!$O$5 = "Untreated",G15,0))</f>
        <v>979</v>
      </c>
      <c r="D15" s="42">
        <f t="shared" si="1"/>
        <v>2017</v>
      </c>
      <c r="E15" s="132" t="s">
        <v>102</v>
      </c>
      <c r="F15" s="485">
        <v>979</v>
      </c>
      <c r="G15" s="486">
        <v>666</v>
      </c>
    </row>
    <row r="16" spans="1:13" x14ac:dyDescent="0.25">
      <c r="A16" s="39">
        <f t="shared" si="0"/>
        <v>2018</v>
      </c>
      <c r="B16" s="488">
        <f>IF('NPV Summary'!$O$5= "Treated",F16, IF('NPV Summary'!$O$5 = "Untreated",G16,0))</f>
        <v>1015</v>
      </c>
      <c r="D16" s="39">
        <f t="shared" si="1"/>
        <v>2018</v>
      </c>
      <c r="E16" s="132" t="s">
        <v>102</v>
      </c>
      <c r="F16" s="485">
        <v>1015</v>
      </c>
      <c r="G16" s="486">
        <v>695</v>
      </c>
    </row>
    <row r="17" spans="1:7" x14ac:dyDescent="0.25">
      <c r="A17" s="42">
        <f t="shared" si="0"/>
        <v>2019</v>
      </c>
      <c r="B17" s="488">
        <f>IF('NPV Summary'!$O$5= "Treated",F17, IF('NPV Summary'!$O$5 = "Untreated",G17,0))</f>
        <v>1053</v>
      </c>
      <c r="D17" s="42">
        <f t="shared" si="1"/>
        <v>2019</v>
      </c>
      <c r="E17" s="132" t="s">
        <v>102</v>
      </c>
      <c r="F17" s="485">
        <v>1053</v>
      </c>
      <c r="G17" s="486">
        <v>738</v>
      </c>
    </row>
    <row r="18" spans="1:7" x14ac:dyDescent="0.25">
      <c r="A18" s="39">
        <f t="shared" si="0"/>
        <v>2020</v>
      </c>
      <c r="B18" s="488">
        <f>IF('NPV Summary'!$O$5= "Treated",F18, IF('NPV Summary'!$O$5 = "Untreated",G18,0))</f>
        <v>1092</v>
      </c>
      <c r="D18" s="39">
        <f t="shared" si="1"/>
        <v>2020</v>
      </c>
      <c r="E18" s="132" t="s">
        <v>102</v>
      </c>
      <c r="F18" s="485">
        <v>1092</v>
      </c>
      <c r="G18" s="486">
        <v>783</v>
      </c>
    </row>
    <row r="19" spans="1:7" x14ac:dyDescent="0.25">
      <c r="A19" s="42">
        <f t="shared" si="0"/>
        <v>2021</v>
      </c>
      <c r="B19" s="488">
        <f>IF('NPV Summary'!$O$5= "Treated",F19, IF('NPV Summary'!$O$5 = "Untreated",G19,0))</f>
        <v>1123</v>
      </c>
      <c r="D19" s="42">
        <f t="shared" si="1"/>
        <v>2021</v>
      </c>
      <c r="E19" s="132" t="s">
        <v>102</v>
      </c>
      <c r="F19" s="485">
        <v>1123</v>
      </c>
      <c r="G19" s="486">
        <v>835</v>
      </c>
    </row>
    <row r="20" spans="1:7" x14ac:dyDescent="0.25">
      <c r="A20" s="39">
        <f t="shared" si="0"/>
        <v>2022</v>
      </c>
      <c r="B20" s="488">
        <f>IF('NPV Summary'!$O$5= "Treated",F20, IF('NPV Summary'!$O$5 = "Untreated",G20,0))</f>
        <v>1164</v>
      </c>
      <c r="D20" s="39">
        <f t="shared" si="1"/>
        <v>2022</v>
      </c>
      <c r="E20" s="132" t="s">
        <v>102</v>
      </c>
      <c r="F20" s="485">
        <v>1164</v>
      </c>
      <c r="G20" s="486">
        <v>876</v>
      </c>
    </row>
    <row r="21" spans="1:7" x14ac:dyDescent="0.25">
      <c r="A21" s="42">
        <f t="shared" si="0"/>
        <v>2023</v>
      </c>
      <c r="B21" s="488">
        <f>IF('NPV Summary'!$O$5= "Treated",F21, IF('NPV Summary'!$O$5 = "Untreated",G21,0))</f>
        <v>1205</v>
      </c>
      <c r="D21" s="42">
        <f t="shared" si="1"/>
        <v>2023</v>
      </c>
      <c r="E21" s="132" t="s">
        <v>102</v>
      </c>
      <c r="F21" s="485">
        <v>1205</v>
      </c>
      <c r="G21" s="486">
        <v>917</v>
      </c>
    </row>
    <row r="22" spans="1:7" x14ac:dyDescent="0.25">
      <c r="A22" s="39">
        <f t="shared" si="0"/>
        <v>2024</v>
      </c>
      <c r="B22" s="488">
        <f>IF('NPV Summary'!$O$5= "Treated",F22, IF('NPV Summary'!$O$5 = "Untreated",G22,0))</f>
        <v>1249</v>
      </c>
      <c r="D22" s="39">
        <f t="shared" si="1"/>
        <v>2024</v>
      </c>
      <c r="E22" s="132" t="s">
        <v>102</v>
      </c>
      <c r="F22" s="485">
        <v>1249</v>
      </c>
      <c r="G22" s="486">
        <v>961</v>
      </c>
    </row>
    <row r="23" spans="1:7" x14ac:dyDescent="0.25">
      <c r="A23" s="42">
        <f t="shared" si="0"/>
        <v>2025</v>
      </c>
      <c r="B23" s="488">
        <f>IF('NPV Summary'!$O$5= "Treated",F23, IF('NPV Summary'!$O$5 = "Untreated",G23,0))</f>
        <v>1296</v>
      </c>
      <c r="D23" s="42">
        <f t="shared" si="1"/>
        <v>2025</v>
      </c>
      <c r="E23" s="132" t="s">
        <v>102</v>
      </c>
      <c r="F23" s="485">
        <v>1296</v>
      </c>
      <c r="G23" s="486">
        <v>1008</v>
      </c>
    </row>
    <row r="24" spans="1:7" x14ac:dyDescent="0.25">
      <c r="A24" s="39">
        <f t="shared" si="0"/>
        <v>2026</v>
      </c>
      <c r="B24" s="488">
        <f>IF('NPV Summary'!$O$5= "Treated",F24, IF('NPV Summary'!$O$5 = "Untreated",G24,0))</f>
        <v>1344</v>
      </c>
      <c r="D24" s="39">
        <f t="shared" si="1"/>
        <v>2026</v>
      </c>
      <c r="E24" s="132" t="s">
        <v>102</v>
      </c>
      <c r="F24" s="485">
        <v>1344</v>
      </c>
      <c r="G24" s="486">
        <v>1056</v>
      </c>
    </row>
    <row r="25" spans="1:7" x14ac:dyDescent="0.25">
      <c r="A25" s="42">
        <f t="shared" si="0"/>
        <v>2027</v>
      </c>
      <c r="B25" s="488">
        <f>IF('NPV Summary'!$O$5= "Treated",F25, IF('NPV Summary'!$O$5 = "Untreated",G25,0))</f>
        <v>1392.384</v>
      </c>
      <c r="D25" s="42">
        <f t="shared" si="1"/>
        <v>2027</v>
      </c>
      <c r="E25" s="487">
        <f>'NPV Summary'!$P$5</f>
        <v>3.5999999999999997E-2</v>
      </c>
      <c r="F25" s="488">
        <f t="shared" ref="F25:F56" si="2">F24*(1+E25)</f>
        <v>1392.384</v>
      </c>
      <c r="G25" s="489">
        <f t="shared" ref="G25:G56" si="3">G24*(1+E25)</f>
        <v>1094.0160000000001</v>
      </c>
    </row>
    <row r="26" spans="1:7" x14ac:dyDescent="0.25">
      <c r="A26" s="39">
        <f t="shared" si="0"/>
        <v>2028</v>
      </c>
      <c r="B26" s="488">
        <f>IF('NPV Summary'!$O$5= "Treated",F26, IF('NPV Summary'!$O$5 = "Untreated",G26,0))</f>
        <v>1442.509824</v>
      </c>
      <c r="D26" s="39">
        <f t="shared" si="1"/>
        <v>2028</v>
      </c>
      <c r="E26" s="487">
        <f>'NPV Summary'!$P$5</f>
        <v>3.5999999999999997E-2</v>
      </c>
      <c r="F26" s="488">
        <f t="shared" si="2"/>
        <v>1442.509824</v>
      </c>
      <c r="G26" s="489">
        <f t="shared" si="3"/>
        <v>1133.400576</v>
      </c>
    </row>
    <row r="27" spans="1:7" x14ac:dyDescent="0.25">
      <c r="A27" s="42">
        <f t="shared" si="0"/>
        <v>2029</v>
      </c>
      <c r="B27" s="488">
        <f>IF('NPV Summary'!$O$5= "Treated",F27, IF('NPV Summary'!$O$5 = "Untreated",G27,0))</f>
        <v>1494.440177664</v>
      </c>
      <c r="D27" s="42">
        <f t="shared" si="1"/>
        <v>2029</v>
      </c>
      <c r="E27" s="487">
        <f>'NPV Summary'!$P$5</f>
        <v>3.5999999999999997E-2</v>
      </c>
      <c r="F27" s="488">
        <f t="shared" si="2"/>
        <v>1494.440177664</v>
      </c>
      <c r="G27" s="489">
        <f t="shared" si="3"/>
        <v>1174.2029967359999</v>
      </c>
    </row>
    <row r="28" spans="1:7" x14ac:dyDescent="0.25">
      <c r="A28" s="39">
        <f t="shared" si="0"/>
        <v>2030</v>
      </c>
      <c r="B28" s="488">
        <f>IF('NPV Summary'!$O$5= "Treated",F28, IF('NPV Summary'!$O$5 = "Untreated",G28,0))</f>
        <v>1548.240024059904</v>
      </c>
      <c r="D28" s="39">
        <f t="shared" si="1"/>
        <v>2030</v>
      </c>
      <c r="E28" s="487">
        <f>'NPV Summary'!$P$5</f>
        <v>3.5999999999999997E-2</v>
      </c>
      <c r="F28" s="488">
        <f t="shared" si="2"/>
        <v>1548.240024059904</v>
      </c>
      <c r="G28" s="489">
        <f t="shared" si="3"/>
        <v>1216.474304618496</v>
      </c>
    </row>
    <row r="29" spans="1:7" x14ac:dyDescent="0.25">
      <c r="A29" s="42">
        <f t="shared" si="0"/>
        <v>2031</v>
      </c>
      <c r="B29" s="488">
        <f>IF('NPV Summary'!$O$5= "Treated",F29, IF('NPV Summary'!$O$5 = "Untreated",G29,0))</f>
        <v>1603.9766649260607</v>
      </c>
      <c r="D29" s="42">
        <f t="shared" si="1"/>
        <v>2031</v>
      </c>
      <c r="E29" s="487">
        <f>'NPV Summary'!$P$5</f>
        <v>3.5999999999999997E-2</v>
      </c>
      <c r="F29" s="488">
        <f t="shared" si="2"/>
        <v>1603.9766649260607</v>
      </c>
      <c r="G29" s="489">
        <f t="shared" si="3"/>
        <v>1260.267379584762</v>
      </c>
    </row>
    <row r="30" spans="1:7" x14ac:dyDescent="0.25">
      <c r="A30" s="39">
        <f t="shared" si="0"/>
        <v>2032</v>
      </c>
      <c r="B30" s="488">
        <f>IF('NPV Summary'!$O$5= "Treated",F30, IF('NPV Summary'!$O$5 = "Untreated",G30,0))</f>
        <v>1661.719824863399</v>
      </c>
      <c r="D30" s="39">
        <f t="shared" si="1"/>
        <v>2032</v>
      </c>
      <c r="E30" s="487">
        <f>'NPV Summary'!$P$5</f>
        <v>3.5999999999999997E-2</v>
      </c>
      <c r="F30" s="488">
        <f t="shared" si="2"/>
        <v>1661.719824863399</v>
      </c>
      <c r="G30" s="489">
        <f t="shared" si="3"/>
        <v>1305.6370052498135</v>
      </c>
    </row>
    <row r="31" spans="1:7" x14ac:dyDescent="0.25">
      <c r="A31" s="42">
        <f t="shared" si="0"/>
        <v>2033</v>
      </c>
      <c r="B31" s="488">
        <f>IF('NPV Summary'!$O$5= "Treated",F31, IF('NPV Summary'!$O$5 = "Untreated",G31,0))</f>
        <v>1721.5417385584815</v>
      </c>
      <c r="D31" s="42">
        <f t="shared" si="1"/>
        <v>2033</v>
      </c>
      <c r="E31" s="487">
        <f>'NPV Summary'!$P$5</f>
        <v>3.5999999999999997E-2</v>
      </c>
      <c r="F31" s="488">
        <f t="shared" si="2"/>
        <v>1721.5417385584815</v>
      </c>
      <c r="G31" s="489">
        <f t="shared" si="3"/>
        <v>1352.6399374388068</v>
      </c>
    </row>
    <row r="32" spans="1:7" x14ac:dyDescent="0.25">
      <c r="A32" s="39">
        <f t="shared" si="0"/>
        <v>2034</v>
      </c>
      <c r="B32" s="488">
        <f>IF('NPV Summary'!$O$5= "Treated",F32, IF('NPV Summary'!$O$5 = "Untreated",G32,0))</f>
        <v>1783.5172411465869</v>
      </c>
      <c r="D32" s="39">
        <f t="shared" si="1"/>
        <v>2034</v>
      </c>
      <c r="E32" s="487">
        <f>'NPV Summary'!$P$5</f>
        <v>3.5999999999999997E-2</v>
      </c>
      <c r="F32" s="488">
        <f t="shared" si="2"/>
        <v>1783.5172411465869</v>
      </c>
      <c r="G32" s="489">
        <f t="shared" si="3"/>
        <v>1401.334975186604</v>
      </c>
    </row>
    <row r="33" spans="1:7" x14ac:dyDescent="0.25">
      <c r="A33" s="42">
        <f t="shared" si="0"/>
        <v>2035</v>
      </c>
      <c r="B33" s="488">
        <f>IF('NPV Summary'!$O$5= "Treated",F33, IF('NPV Summary'!$O$5 = "Untreated",G33,0))</f>
        <v>1847.7238618278641</v>
      </c>
      <c r="D33" s="42">
        <f t="shared" si="1"/>
        <v>2035</v>
      </c>
      <c r="E33" s="487">
        <f>'NPV Summary'!$P$5</f>
        <v>3.5999999999999997E-2</v>
      </c>
      <c r="F33" s="488">
        <f t="shared" si="2"/>
        <v>1847.7238618278641</v>
      </c>
      <c r="G33" s="489">
        <f t="shared" si="3"/>
        <v>1451.7830342933219</v>
      </c>
    </row>
    <row r="34" spans="1:7" x14ac:dyDescent="0.25">
      <c r="A34" s="39">
        <f t="shared" si="0"/>
        <v>2036</v>
      </c>
      <c r="B34" s="488">
        <f>IF('NPV Summary'!$O$5= "Treated",F34, IF('NPV Summary'!$O$5 = "Untreated",G34,0))</f>
        <v>1914.2419208536674</v>
      </c>
      <c r="D34" s="39">
        <f t="shared" si="1"/>
        <v>2036</v>
      </c>
      <c r="E34" s="487">
        <f>'NPV Summary'!$P$5</f>
        <v>3.5999999999999997E-2</v>
      </c>
      <c r="F34" s="488">
        <f t="shared" si="2"/>
        <v>1914.2419208536674</v>
      </c>
      <c r="G34" s="489">
        <f t="shared" si="3"/>
        <v>1504.0472235278814</v>
      </c>
    </row>
    <row r="35" spans="1:7" x14ac:dyDescent="0.25">
      <c r="A35" s="42">
        <f t="shared" si="0"/>
        <v>2037</v>
      </c>
      <c r="B35" s="488">
        <f>IF('NPV Summary'!$O$5= "Treated",F35, IF('NPV Summary'!$O$5 = "Untreated",G35,0))</f>
        <v>1983.1546300043995</v>
      </c>
      <c r="D35" s="42">
        <f t="shared" si="1"/>
        <v>2037</v>
      </c>
      <c r="E35" s="487">
        <f>'NPV Summary'!$P$5</f>
        <v>3.5999999999999997E-2</v>
      </c>
      <c r="F35" s="488">
        <f t="shared" si="2"/>
        <v>1983.1546300043995</v>
      </c>
      <c r="G35" s="489">
        <f t="shared" si="3"/>
        <v>1558.1929235748853</v>
      </c>
    </row>
    <row r="36" spans="1:7" x14ac:dyDescent="0.25">
      <c r="A36" s="39">
        <f t="shared" si="0"/>
        <v>2038</v>
      </c>
      <c r="B36" s="488">
        <f>IF('NPV Summary'!$O$5= "Treated",F36, IF('NPV Summary'!$O$5 = "Untreated",G36,0))</f>
        <v>2054.5481966845578</v>
      </c>
      <c r="D36" s="39">
        <f t="shared" si="1"/>
        <v>2038</v>
      </c>
      <c r="E36" s="487">
        <f>'NPV Summary'!$P$5</f>
        <v>3.5999999999999997E-2</v>
      </c>
      <c r="F36" s="488">
        <f t="shared" si="2"/>
        <v>2054.5481966845578</v>
      </c>
      <c r="G36" s="489">
        <f t="shared" si="3"/>
        <v>1614.2878688235812</v>
      </c>
    </row>
    <row r="37" spans="1:7" x14ac:dyDescent="0.25">
      <c r="A37" s="42">
        <f t="shared" si="0"/>
        <v>2039</v>
      </c>
      <c r="B37" s="488">
        <f>IF('NPV Summary'!$O$5= "Treated",F37, IF('NPV Summary'!$O$5 = "Untreated",G37,0))</f>
        <v>2128.511931765202</v>
      </c>
      <c r="D37" s="42">
        <f t="shared" si="1"/>
        <v>2039</v>
      </c>
      <c r="E37" s="487">
        <f>'NPV Summary'!$P$5</f>
        <v>3.5999999999999997E-2</v>
      </c>
      <c r="F37" s="488">
        <f t="shared" si="2"/>
        <v>2128.511931765202</v>
      </c>
      <c r="G37" s="489">
        <f t="shared" si="3"/>
        <v>1672.4022321012301</v>
      </c>
    </row>
    <row r="38" spans="1:7" x14ac:dyDescent="0.25">
      <c r="A38" s="39">
        <f t="shared" ref="A38:A58" si="4">A37+1</f>
        <v>2040</v>
      </c>
      <c r="B38" s="488">
        <f>IF('NPV Summary'!$O$5= "Treated",F38, IF('NPV Summary'!$O$5 = "Untreated",G38,0))</f>
        <v>2205.1383613087492</v>
      </c>
      <c r="D38" s="39">
        <f t="shared" ref="D38:D58" si="5">D37+1</f>
        <v>2040</v>
      </c>
      <c r="E38" s="487">
        <f>'NPV Summary'!$P$5</f>
        <v>3.5999999999999997E-2</v>
      </c>
      <c r="F38" s="488">
        <f t="shared" si="2"/>
        <v>2205.1383613087492</v>
      </c>
      <c r="G38" s="489">
        <f t="shared" si="3"/>
        <v>1732.6087124568744</v>
      </c>
    </row>
    <row r="39" spans="1:7" x14ac:dyDescent="0.25">
      <c r="A39" s="42">
        <f t="shared" si="4"/>
        <v>2041</v>
      </c>
      <c r="B39" s="488">
        <f>IF('NPV Summary'!$O$5= "Treated",F39, IF('NPV Summary'!$O$5 = "Untreated",G39,0))</f>
        <v>2284.5233423158643</v>
      </c>
      <c r="D39" s="42">
        <f t="shared" si="5"/>
        <v>2041</v>
      </c>
      <c r="E39" s="487">
        <f>'NPV Summary'!$P$5</f>
        <v>3.5999999999999997E-2</v>
      </c>
      <c r="F39" s="488">
        <f t="shared" si="2"/>
        <v>2284.5233423158643</v>
      </c>
      <c r="G39" s="489">
        <f t="shared" si="3"/>
        <v>1794.982626105322</v>
      </c>
    </row>
    <row r="40" spans="1:7" x14ac:dyDescent="0.25">
      <c r="A40" s="39">
        <f t="shared" si="4"/>
        <v>2042</v>
      </c>
      <c r="B40" s="488">
        <f>IF('NPV Summary'!$O$5= "Treated",F40, IF('NPV Summary'!$O$5 = "Untreated",G40,0))</f>
        <v>2366.7661826392355</v>
      </c>
      <c r="D40" s="39">
        <f t="shared" si="5"/>
        <v>2042</v>
      </c>
      <c r="E40" s="487">
        <f>'NPV Summary'!$P$5</f>
        <v>3.5999999999999997E-2</v>
      </c>
      <c r="F40" s="488">
        <f t="shared" si="2"/>
        <v>2366.7661826392355</v>
      </c>
      <c r="G40" s="489">
        <f t="shared" si="3"/>
        <v>1859.6020006451135</v>
      </c>
    </row>
    <row r="41" spans="1:7" x14ac:dyDescent="0.25">
      <c r="A41" s="42">
        <f t="shared" si="4"/>
        <v>2043</v>
      </c>
      <c r="B41" s="488">
        <f>IF('NPV Summary'!$O$5= "Treated",F41, IF('NPV Summary'!$O$5 = "Untreated",G41,0))</f>
        <v>2451.9697652142481</v>
      </c>
      <c r="D41" s="42">
        <f t="shared" si="5"/>
        <v>2043</v>
      </c>
      <c r="E41" s="487">
        <f>'NPV Summary'!$P$5</f>
        <v>3.5999999999999997E-2</v>
      </c>
      <c r="F41" s="488">
        <f t="shared" si="2"/>
        <v>2451.9697652142481</v>
      </c>
      <c r="G41" s="489">
        <f t="shared" si="3"/>
        <v>1926.5476726683378</v>
      </c>
    </row>
    <row r="42" spans="1:7" x14ac:dyDescent="0.25">
      <c r="A42" s="39">
        <f t="shared" si="4"/>
        <v>2044</v>
      </c>
      <c r="B42" s="488">
        <f>IF('NPV Summary'!$O$5= "Treated",F42, IF('NPV Summary'!$O$5 = "Untreated",G42,0))</f>
        <v>2540.2406767619609</v>
      </c>
      <c r="D42" s="39">
        <f t="shared" si="5"/>
        <v>2044</v>
      </c>
      <c r="E42" s="487">
        <f>'NPV Summary'!$P$5</f>
        <v>3.5999999999999997E-2</v>
      </c>
      <c r="F42" s="488">
        <f t="shared" si="2"/>
        <v>2540.2406767619609</v>
      </c>
      <c r="G42" s="489">
        <f t="shared" si="3"/>
        <v>1995.9033888843981</v>
      </c>
    </row>
    <row r="43" spans="1:7" x14ac:dyDescent="0.25">
      <c r="A43" s="42">
        <f t="shared" si="4"/>
        <v>2045</v>
      </c>
      <c r="B43" s="488">
        <f>IF('NPV Summary'!$O$5= "Treated",F43, IF('NPV Summary'!$O$5 = "Untreated",G43,0))</f>
        <v>2631.6893411253914</v>
      </c>
      <c r="D43" s="42">
        <f t="shared" si="5"/>
        <v>2045</v>
      </c>
      <c r="E43" s="487">
        <f>'NPV Summary'!$P$5</f>
        <v>3.5999999999999997E-2</v>
      </c>
      <c r="F43" s="488">
        <f t="shared" si="2"/>
        <v>2631.6893411253914</v>
      </c>
      <c r="G43" s="489">
        <f t="shared" si="3"/>
        <v>2067.7559108842365</v>
      </c>
    </row>
    <row r="44" spans="1:7" x14ac:dyDescent="0.25">
      <c r="A44" s="39">
        <f t="shared" si="4"/>
        <v>2046</v>
      </c>
      <c r="B44" s="488">
        <f>IF('NPV Summary'!$O$5= "Treated",F44, IF('NPV Summary'!$O$5 = "Untreated",G44,0))</f>
        <v>2726.4301574059054</v>
      </c>
      <c r="D44" s="39">
        <f t="shared" si="5"/>
        <v>2046</v>
      </c>
      <c r="E44" s="487">
        <f>'NPV Summary'!$P$5</f>
        <v>3.5999999999999997E-2</v>
      </c>
      <c r="F44" s="488">
        <f t="shared" si="2"/>
        <v>2726.4301574059054</v>
      </c>
      <c r="G44" s="489">
        <f t="shared" si="3"/>
        <v>2142.1951236760692</v>
      </c>
    </row>
    <row r="45" spans="1:7" x14ac:dyDescent="0.25">
      <c r="A45" s="42">
        <f t="shared" si="4"/>
        <v>2047</v>
      </c>
      <c r="B45" s="488">
        <f>IF('NPV Summary'!$O$5= "Treated",F45, IF('NPV Summary'!$O$5 = "Untreated",G45,0))</f>
        <v>2824.5816430725181</v>
      </c>
      <c r="D45" s="42">
        <f t="shared" si="5"/>
        <v>2047</v>
      </c>
      <c r="E45" s="487">
        <f>'NPV Summary'!$P$5</f>
        <v>3.5999999999999997E-2</v>
      </c>
      <c r="F45" s="488">
        <f t="shared" si="2"/>
        <v>2824.5816430725181</v>
      </c>
      <c r="G45" s="489">
        <f t="shared" si="3"/>
        <v>2219.3141481284079</v>
      </c>
    </row>
    <row r="46" spans="1:7" x14ac:dyDescent="0.25">
      <c r="A46" s="39">
        <f t="shared" si="4"/>
        <v>2048</v>
      </c>
      <c r="B46" s="488">
        <f>IF('NPV Summary'!$O$5= "Treated",F46, IF('NPV Summary'!$O$5 = "Untreated",G46,0))</f>
        <v>2926.2665822231288</v>
      </c>
      <c r="D46" s="39">
        <f t="shared" si="5"/>
        <v>2048</v>
      </c>
      <c r="E46" s="487">
        <f>'NPV Summary'!$P$5</f>
        <v>3.5999999999999997E-2</v>
      </c>
      <c r="F46" s="488">
        <f t="shared" si="2"/>
        <v>2926.2665822231288</v>
      </c>
      <c r="G46" s="489">
        <f t="shared" si="3"/>
        <v>2299.2094574610305</v>
      </c>
    </row>
    <row r="47" spans="1:7" x14ac:dyDescent="0.25">
      <c r="A47" s="42">
        <f t="shared" si="4"/>
        <v>2049</v>
      </c>
      <c r="B47" s="488">
        <f>IF('NPV Summary'!$O$5= "Treated",F47, IF('NPV Summary'!$O$5 = "Untreated",G47,0))</f>
        <v>3031.6121791831615</v>
      </c>
      <c r="D47" s="42">
        <f t="shared" si="5"/>
        <v>2049</v>
      </c>
      <c r="E47" s="487">
        <f>'NPV Summary'!$P$5</f>
        <v>3.5999999999999997E-2</v>
      </c>
      <c r="F47" s="488">
        <f t="shared" si="2"/>
        <v>3031.6121791831615</v>
      </c>
      <c r="G47" s="489">
        <f t="shared" si="3"/>
        <v>2381.9809979296278</v>
      </c>
    </row>
    <row r="48" spans="1:7" x14ac:dyDescent="0.25">
      <c r="A48" s="39">
        <f t="shared" si="4"/>
        <v>2050</v>
      </c>
      <c r="B48" s="488">
        <f>IF('NPV Summary'!$O$5= "Treated",F48, IF('NPV Summary'!$O$5 = "Untreated",G48,0))</f>
        <v>3140.7502176337553</v>
      </c>
      <c r="D48" s="39">
        <f t="shared" si="5"/>
        <v>2050</v>
      </c>
      <c r="E48" s="487">
        <f>'NPV Summary'!$P$5</f>
        <v>3.5999999999999997E-2</v>
      </c>
      <c r="F48" s="488">
        <f t="shared" si="2"/>
        <v>3140.7502176337553</v>
      </c>
      <c r="G48" s="489">
        <f t="shared" si="3"/>
        <v>2467.7323138550946</v>
      </c>
    </row>
    <row r="49" spans="1:7" x14ac:dyDescent="0.25">
      <c r="A49" s="42">
        <f t="shared" si="4"/>
        <v>2051</v>
      </c>
      <c r="B49" s="488">
        <f>IF('NPV Summary'!$O$5= "Treated",F49, IF('NPV Summary'!$O$5 = "Untreated",G49,0))</f>
        <v>3253.8172254685705</v>
      </c>
      <c r="D49" s="42">
        <f t="shared" si="5"/>
        <v>2051</v>
      </c>
      <c r="E49" s="487">
        <f>'NPV Summary'!$P$5</f>
        <v>3.5999999999999997E-2</v>
      </c>
      <c r="F49" s="488">
        <f t="shared" si="2"/>
        <v>3253.8172254685705</v>
      </c>
      <c r="G49" s="489">
        <f t="shared" si="3"/>
        <v>2556.570677153878</v>
      </c>
    </row>
    <row r="50" spans="1:7" x14ac:dyDescent="0.25">
      <c r="A50" s="39">
        <f t="shared" si="4"/>
        <v>2052</v>
      </c>
      <c r="B50" s="488">
        <f>IF('NPV Summary'!$O$5= "Treated",F50, IF('NPV Summary'!$O$5 = "Untreated",G50,0))</f>
        <v>3370.9546455854393</v>
      </c>
      <c r="D50" s="39">
        <f t="shared" si="5"/>
        <v>2052</v>
      </c>
      <c r="E50" s="487">
        <f>'NPV Summary'!$P$5</f>
        <v>3.5999999999999997E-2</v>
      </c>
      <c r="F50" s="488">
        <f t="shared" si="2"/>
        <v>3370.9546455854393</v>
      </c>
      <c r="G50" s="489">
        <f t="shared" si="3"/>
        <v>2648.6072215314175</v>
      </c>
    </row>
    <row r="51" spans="1:7" x14ac:dyDescent="0.25">
      <c r="A51" s="42">
        <f t="shared" si="4"/>
        <v>2053</v>
      </c>
      <c r="B51" s="488">
        <f>IF('NPV Summary'!$O$5= "Treated",F51, IF('NPV Summary'!$O$5 = "Untreated",G51,0))</f>
        <v>3492.3090128265153</v>
      </c>
      <c r="D51" s="42">
        <f t="shared" si="5"/>
        <v>2053</v>
      </c>
      <c r="E51" s="487">
        <f>'NPV Summary'!$P$5</f>
        <v>3.5999999999999997E-2</v>
      </c>
      <c r="F51" s="488">
        <f t="shared" si="2"/>
        <v>3492.3090128265153</v>
      </c>
      <c r="G51" s="489">
        <f t="shared" si="3"/>
        <v>2743.9570815065485</v>
      </c>
    </row>
    <row r="52" spans="1:7" x14ac:dyDescent="0.25">
      <c r="A52" s="39">
        <f t="shared" si="4"/>
        <v>2054</v>
      </c>
      <c r="B52" s="488">
        <f>IF('NPV Summary'!$O$5= "Treated",F52, IF('NPV Summary'!$O$5 = "Untreated",G52,0))</f>
        <v>3618.03213728827</v>
      </c>
      <c r="D52" s="39">
        <f t="shared" si="5"/>
        <v>2054</v>
      </c>
      <c r="E52" s="487">
        <f>'NPV Summary'!$P$5</f>
        <v>3.5999999999999997E-2</v>
      </c>
      <c r="F52" s="488">
        <f t="shared" si="2"/>
        <v>3618.03213728827</v>
      </c>
      <c r="G52" s="489">
        <f t="shared" si="3"/>
        <v>2842.7395364407844</v>
      </c>
    </row>
    <row r="53" spans="1:7" x14ac:dyDescent="0.25">
      <c r="A53" s="42">
        <f t="shared" si="4"/>
        <v>2055</v>
      </c>
      <c r="B53" s="488">
        <f>IF('NPV Summary'!$O$5= "Treated",F53, IF('NPV Summary'!$O$5 = "Untreated",G53,0))</f>
        <v>3748.2812942306477</v>
      </c>
      <c r="D53" s="42">
        <f t="shared" si="5"/>
        <v>2055</v>
      </c>
      <c r="E53" s="487">
        <f>'NPV Summary'!$P$5</f>
        <v>3.5999999999999997E-2</v>
      </c>
      <c r="F53" s="488">
        <f t="shared" si="2"/>
        <v>3748.2812942306477</v>
      </c>
      <c r="G53" s="489">
        <f t="shared" si="3"/>
        <v>2945.0781597526525</v>
      </c>
    </row>
    <row r="54" spans="1:7" x14ac:dyDescent="0.25">
      <c r="A54" s="39">
        <f t="shared" si="4"/>
        <v>2056</v>
      </c>
      <c r="B54" s="488">
        <f>IF('NPV Summary'!$O$5= "Treated",F54, IF('NPV Summary'!$O$5 = "Untreated",G54,0))</f>
        <v>3883.2194208229512</v>
      </c>
      <c r="D54" s="39">
        <f t="shared" si="5"/>
        <v>2056</v>
      </c>
      <c r="E54" s="487">
        <f>'NPV Summary'!$P$5</f>
        <v>3.5999999999999997E-2</v>
      </c>
      <c r="F54" s="488">
        <f t="shared" si="2"/>
        <v>3883.2194208229512</v>
      </c>
      <c r="G54" s="489">
        <f t="shared" si="3"/>
        <v>3051.1009735037483</v>
      </c>
    </row>
    <row r="55" spans="1:7" x14ac:dyDescent="0.25">
      <c r="A55" s="42">
        <f t="shared" si="4"/>
        <v>2057</v>
      </c>
      <c r="B55" s="488">
        <f>IF('NPV Summary'!$O$5= "Treated",F55, IF('NPV Summary'!$O$5 = "Untreated",G55,0))</f>
        <v>4023.0153199725773</v>
      </c>
      <c r="D55" s="42">
        <f t="shared" si="5"/>
        <v>2057</v>
      </c>
      <c r="E55" s="487">
        <f>'NPV Summary'!$P$5</f>
        <v>3.5999999999999997E-2</v>
      </c>
      <c r="F55" s="488">
        <f t="shared" si="2"/>
        <v>4023.0153199725773</v>
      </c>
      <c r="G55" s="489">
        <f t="shared" si="3"/>
        <v>3160.9406085498831</v>
      </c>
    </row>
    <row r="56" spans="1:7" x14ac:dyDescent="0.25">
      <c r="A56" s="39">
        <f t="shared" si="4"/>
        <v>2058</v>
      </c>
      <c r="B56" s="488">
        <f>IF('NPV Summary'!$O$5= "Treated",F56, IF('NPV Summary'!$O$5 = "Untreated",G56,0))</f>
        <v>4167.8438714915901</v>
      </c>
      <c r="D56" s="39">
        <f t="shared" si="5"/>
        <v>2058</v>
      </c>
      <c r="E56" s="487">
        <f>'NPV Summary'!$P$5</f>
        <v>3.5999999999999997E-2</v>
      </c>
      <c r="F56" s="488">
        <f t="shared" si="2"/>
        <v>4167.8438714915901</v>
      </c>
      <c r="G56" s="489">
        <f t="shared" si="3"/>
        <v>3274.734470457679</v>
      </c>
    </row>
    <row r="57" spans="1:7" x14ac:dyDescent="0.25">
      <c r="A57" s="42">
        <f t="shared" si="4"/>
        <v>2059</v>
      </c>
      <c r="B57" s="488">
        <f>IF('NPV Summary'!$O$5= "Treated",F57, IF('NPV Summary'!$O$5 = "Untreated",G57,0))</f>
        <v>4317.8862508652874</v>
      </c>
      <c r="D57" s="42">
        <f t="shared" si="5"/>
        <v>2059</v>
      </c>
      <c r="E57" s="487">
        <f>'NPV Summary'!$P$5</f>
        <v>3.5999999999999997E-2</v>
      </c>
      <c r="F57" s="488">
        <f t="shared" ref="F57:F58" si="6">F56*(1+E57)</f>
        <v>4317.8862508652874</v>
      </c>
      <c r="G57" s="489">
        <f t="shared" ref="G57:G58" si="7">G56*(1+E57)</f>
        <v>3392.6249113941553</v>
      </c>
    </row>
    <row r="58" spans="1:7" x14ac:dyDescent="0.25">
      <c r="A58" s="39">
        <f t="shared" si="4"/>
        <v>2060</v>
      </c>
      <c r="B58" s="488">
        <f>IF('NPV Summary'!$O$5= "Treated",F58, IF('NPV Summary'!$O$5 = "Untreated",G58,0))</f>
        <v>4473.3301558964376</v>
      </c>
      <c r="D58" s="39">
        <f t="shared" si="5"/>
        <v>2060</v>
      </c>
      <c r="E58" s="487">
        <f>'NPV Summary'!$P$5</f>
        <v>3.5999999999999997E-2</v>
      </c>
      <c r="F58" s="488">
        <f t="shared" si="6"/>
        <v>4473.3301558964376</v>
      </c>
      <c r="G58" s="489">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28"/>
    </row>
    <row r="285" spans="1:7" x14ac:dyDescent="0.25">
      <c r="G285" s="28"/>
    </row>
    <row r="286" spans="1:7" x14ac:dyDescent="0.25">
      <c r="G286" s="28"/>
    </row>
    <row r="287" spans="1:7" x14ac:dyDescent="0.25">
      <c r="G287" s="28"/>
    </row>
    <row r="288" spans="1:7" x14ac:dyDescent="0.25">
      <c r="G288" s="28"/>
    </row>
    <row r="289" spans="7:7" x14ac:dyDescent="0.25">
      <c r="G289" s="28"/>
    </row>
    <row r="290" spans="7:7" x14ac:dyDescent="0.25">
      <c r="G290" s="28"/>
    </row>
    <row r="291" spans="7:7" x14ac:dyDescent="0.25">
      <c r="G291" s="28"/>
    </row>
    <row r="292" spans="7:7" x14ac:dyDescent="0.25">
      <c r="G292" s="28"/>
    </row>
    <row r="293" spans="7:7" x14ac:dyDescent="0.25">
      <c r="G293" s="28"/>
    </row>
    <row r="294" spans="7:7" x14ac:dyDescent="0.25">
      <c r="G294" s="28"/>
    </row>
    <row r="295" spans="7:7" x14ac:dyDescent="0.25">
      <c r="G295" s="28"/>
    </row>
    <row r="296" spans="7:7" x14ac:dyDescent="0.25">
      <c r="G296" s="28"/>
    </row>
    <row r="297" spans="7:7" x14ac:dyDescent="0.25">
      <c r="G297" s="28"/>
    </row>
    <row r="298" spans="7:7" x14ac:dyDescent="0.25">
      <c r="G298" s="28"/>
    </row>
    <row r="299" spans="7:7" x14ac:dyDescent="0.25">
      <c r="G299" s="28"/>
    </row>
    <row r="300" spans="7:7" x14ac:dyDescent="0.25">
      <c r="G300" s="28"/>
    </row>
    <row r="301" spans="7:7" x14ac:dyDescent="0.25">
      <c r="G301" s="28"/>
    </row>
    <row r="302" spans="7:7" x14ac:dyDescent="0.25">
      <c r="G302" s="28"/>
    </row>
    <row r="303" spans="7:7" x14ac:dyDescent="0.25">
      <c r="G303" s="28"/>
    </row>
    <row r="304" spans="7:7" x14ac:dyDescent="0.25">
      <c r="G304" s="28"/>
    </row>
    <row r="305" spans="7:7" x14ac:dyDescent="0.25">
      <c r="G305" s="28"/>
    </row>
    <row r="306" spans="7:7" x14ac:dyDescent="0.25">
      <c r="G306" s="28"/>
    </row>
    <row r="307" spans="7:7" x14ac:dyDescent="0.25">
      <c r="G307" s="28"/>
    </row>
    <row r="308" spans="7:7" x14ac:dyDescent="0.25">
      <c r="G308" s="28"/>
    </row>
    <row r="309" spans="7:7" x14ac:dyDescent="0.25">
      <c r="G309" s="28"/>
    </row>
    <row r="310" spans="7:7" x14ac:dyDescent="0.25">
      <c r="G310" s="28"/>
    </row>
    <row r="311" spans="7:7" x14ac:dyDescent="0.25">
      <c r="G311" s="28"/>
    </row>
    <row r="312" spans="7:7" x14ac:dyDescent="0.25">
      <c r="G312" s="28"/>
    </row>
    <row r="313" spans="7:7" x14ac:dyDescent="0.25">
      <c r="G313" s="28"/>
    </row>
    <row r="314" spans="7:7" x14ac:dyDescent="0.25">
      <c r="G314" s="28"/>
    </row>
    <row r="315" spans="7:7" x14ac:dyDescent="0.25">
      <c r="G315" s="28"/>
    </row>
    <row r="316" spans="7:7" x14ac:dyDescent="0.25">
      <c r="G316" s="28"/>
    </row>
    <row r="317" spans="7:7" x14ac:dyDescent="0.25">
      <c r="G317" s="28"/>
    </row>
    <row r="318" spans="7:7" x14ac:dyDescent="0.25">
      <c r="G318" s="28"/>
    </row>
    <row r="319" spans="7:7" x14ac:dyDescent="0.25">
      <c r="G319" s="28"/>
    </row>
    <row r="320" spans="7:7" x14ac:dyDescent="0.25">
      <c r="G320" s="28"/>
    </row>
    <row r="321" spans="7:7" x14ac:dyDescent="0.25">
      <c r="G321" s="28"/>
    </row>
    <row r="322" spans="7:7" x14ac:dyDescent="0.25">
      <c r="G322" s="28"/>
    </row>
    <row r="323" spans="7:7" x14ac:dyDescent="0.25">
      <c r="G323" s="28"/>
    </row>
    <row r="324" spans="7:7" x14ac:dyDescent="0.25">
      <c r="G324" s="28"/>
    </row>
    <row r="325" spans="7:7" x14ac:dyDescent="0.25">
      <c r="G325" s="28"/>
    </row>
    <row r="326" spans="7:7" x14ac:dyDescent="0.25">
      <c r="G326" s="28"/>
    </row>
    <row r="327" spans="7:7" x14ac:dyDescent="0.25">
      <c r="G327" s="28"/>
    </row>
    <row r="328" spans="7:7" x14ac:dyDescent="0.25">
      <c r="G328" s="28"/>
    </row>
    <row r="329" spans="7:7" x14ac:dyDescent="0.25">
      <c r="G329" s="28"/>
    </row>
    <row r="330" spans="7:7" x14ac:dyDescent="0.25">
      <c r="G330" s="28"/>
    </row>
    <row r="331" spans="7:7" x14ac:dyDescent="0.25">
      <c r="G331" s="28"/>
    </row>
    <row r="332" spans="7:7" x14ac:dyDescent="0.25">
      <c r="G332" s="28"/>
    </row>
    <row r="333" spans="7:7" x14ac:dyDescent="0.25">
      <c r="G333" s="28"/>
    </row>
    <row r="334" spans="7:7" x14ac:dyDescent="0.25">
      <c r="G334" s="28"/>
    </row>
    <row r="335" spans="7:7" x14ac:dyDescent="0.25">
      <c r="G335" s="28"/>
    </row>
    <row r="336" spans="7:7" x14ac:dyDescent="0.25">
      <c r="G336" s="28"/>
    </row>
    <row r="337" spans="7:7" x14ac:dyDescent="0.25">
      <c r="G337" s="28"/>
    </row>
    <row r="338" spans="7:7" x14ac:dyDescent="0.25">
      <c r="G338" s="28"/>
    </row>
    <row r="339" spans="7:7" x14ac:dyDescent="0.25">
      <c r="G339" s="28"/>
    </row>
    <row r="340" spans="7:7" x14ac:dyDescent="0.25">
      <c r="G340" s="28"/>
    </row>
    <row r="341" spans="7:7" x14ac:dyDescent="0.25">
      <c r="G341" s="28"/>
    </row>
    <row r="342" spans="7:7" x14ac:dyDescent="0.25">
      <c r="G342" s="28"/>
    </row>
    <row r="343" spans="7:7" x14ac:dyDescent="0.25">
      <c r="G343" s="28"/>
    </row>
    <row r="344" spans="7:7" x14ac:dyDescent="0.25">
      <c r="G344" s="28"/>
    </row>
    <row r="345" spans="7:7" x14ac:dyDescent="0.25">
      <c r="G345" s="28"/>
    </row>
    <row r="346" spans="7:7" x14ac:dyDescent="0.25">
      <c r="G346" s="28"/>
    </row>
    <row r="347" spans="7:7" x14ac:dyDescent="0.25">
      <c r="G347" s="28"/>
    </row>
    <row r="348" spans="7:7" x14ac:dyDescent="0.25">
      <c r="G348" s="28"/>
    </row>
    <row r="349" spans="7:7" x14ac:dyDescent="0.25">
      <c r="G349" s="28"/>
    </row>
    <row r="350" spans="7:7" x14ac:dyDescent="0.25">
      <c r="G350" s="28"/>
    </row>
    <row r="351" spans="7:7" x14ac:dyDescent="0.25">
      <c r="G351" s="28"/>
    </row>
    <row r="352" spans="7:7" x14ac:dyDescent="0.25">
      <c r="G352" s="28"/>
    </row>
    <row r="353" spans="7:7" x14ac:dyDescent="0.25">
      <c r="G353" s="28"/>
    </row>
    <row r="354" spans="7:7" x14ac:dyDescent="0.25">
      <c r="G354" s="28"/>
    </row>
    <row r="355" spans="7:7" x14ac:dyDescent="0.25">
      <c r="G355" s="28"/>
    </row>
    <row r="356" spans="7:7" x14ac:dyDescent="0.25">
      <c r="G356" s="28"/>
    </row>
    <row r="357" spans="7:7" x14ac:dyDescent="0.25">
      <c r="G357" s="28"/>
    </row>
    <row r="358" spans="7:7" x14ac:dyDescent="0.25">
      <c r="G358" s="28"/>
    </row>
    <row r="359" spans="7:7" x14ac:dyDescent="0.25">
      <c r="G359" s="28"/>
    </row>
    <row r="360" spans="7:7" x14ac:dyDescent="0.25">
      <c r="G360" s="28"/>
    </row>
    <row r="361" spans="7:7" x14ac:dyDescent="0.25">
      <c r="G361" s="28"/>
    </row>
    <row r="362" spans="7:7" x14ac:dyDescent="0.25">
      <c r="G362" s="28"/>
    </row>
    <row r="363" spans="7:7" x14ac:dyDescent="0.25">
      <c r="G363" s="28"/>
    </row>
    <row r="364" spans="7:7" x14ac:dyDescent="0.25">
      <c r="G364" s="28"/>
    </row>
    <row r="365" spans="7:7" x14ac:dyDescent="0.25">
      <c r="G365" s="28"/>
    </row>
    <row r="366" spans="7:7" x14ac:dyDescent="0.25">
      <c r="G366" s="28"/>
    </row>
    <row r="367" spans="7:7" x14ac:dyDescent="0.25">
      <c r="G367" s="28"/>
    </row>
    <row r="368" spans="7:7" x14ac:dyDescent="0.25">
      <c r="G368" s="28"/>
    </row>
    <row r="369" spans="7:7" x14ac:dyDescent="0.25">
      <c r="G369" s="28"/>
    </row>
    <row r="370" spans="7:7" x14ac:dyDescent="0.25">
      <c r="G370" s="28"/>
    </row>
    <row r="371" spans="7:7" x14ac:dyDescent="0.25">
      <c r="G371" s="28"/>
    </row>
    <row r="372" spans="7:7" x14ac:dyDescent="0.25">
      <c r="G372" s="28"/>
    </row>
    <row r="373" spans="7:7" x14ac:dyDescent="0.25">
      <c r="G373" s="28"/>
    </row>
    <row r="374" spans="7:7" x14ac:dyDescent="0.25">
      <c r="G374" s="28"/>
    </row>
    <row r="375" spans="7:7" x14ac:dyDescent="0.25">
      <c r="G375" s="28"/>
    </row>
    <row r="376" spans="7:7" x14ac:dyDescent="0.25">
      <c r="G376" s="28"/>
    </row>
    <row r="377" spans="7:7" x14ac:dyDescent="0.25">
      <c r="G377" s="28"/>
    </row>
    <row r="378" spans="7:7" x14ac:dyDescent="0.25">
      <c r="G378" s="28"/>
    </row>
    <row r="379" spans="7:7" x14ac:dyDescent="0.25">
      <c r="G379" s="28"/>
    </row>
    <row r="380" spans="7:7" x14ac:dyDescent="0.25">
      <c r="G380" s="28"/>
    </row>
    <row r="381" spans="7:7" x14ac:dyDescent="0.25">
      <c r="G381" s="28"/>
    </row>
    <row r="382" spans="7:7" x14ac:dyDescent="0.25">
      <c r="G382" s="28"/>
    </row>
    <row r="383" spans="7:7" x14ac:dyDescent="0.25">
      <c r="G383" s="28"/>
    </row>
    <row r="384" spans="7:7" x14ac:dyDescent="0.25">
      <c r="G384" s="28"/>
    </row>
    <row r="385" spans="7:7" x14ac:dyDescent="0.25">
      <c r="G385" s="28"/>
    </row>
    <row r="386" spans="7:7" x14ac:dyDescent="0.25">
      <c r="G386" s="28"/>
    </row>
    <row r="387" spans="7:7" x14ac:dyDescent="0.25">
      <c r="G387" s="28"/>
    </row>
    <row r="388" spans="7:7" x14ac:dyDescent="0.25">
      <c r="G388" s="28"/>
    </row>
    <row r="389" spans="7:7" x14ac:dyDescent="0.25">
      <c r="G389" s="28"/>
    </row>
    <row r="390" spans="7:7" x14ac:dyDescent="0.25">
      <c r="G390" s="28"/>
    </row>
    <row r="391" spans="7:7" x14ac:dyDescent="0.25">
      <c r="G391" s="28"/>
    </row>
    <row r="392" spans="7:7" x14ac:dyDescent="0.25">
      <c r="G392" s="28"/>
    </row>
    <row r="393" spans="7:7" x14ac:dyDescent="0.25">
      <c r="G393" s="28"/>
    </row>
    <row r="394" spans="7:7" x14ac:dyDescent="0.25">
      <c r="G394" s="28"/>
    </row>
    <row r="395" spans="7:7" x14ac:dyDescent="0.25">
      <c r="G395" s="28"/>
    </row>
    <row r="396" spans="7:7" x14ac:dyDescent="0.25">
      <c r="G396" s="28"/>
    </row>
    <row r="397" spans="7:7" x14ac:dyDescent="0.25">
      <c r="G397" s="28"/>
    </row>
    <row r="398" spans="7:7" x14ac:dyDescent="0.25">
      <c r="G398" s="28"/>
    </row>
    <row r="399" spans="7:7" x14ac:dyDescent="0.25">
      <c r="G399" s="28"/>
    </row>
    <row r="400" spans="7:7" x14ac:dyDescent="0.25">
      <c r="G400" s="28"/>
    </row>
    <row r="401" spans="7:7" x14ac:dyDescent="0.25">
      <c r="G401" s="28"/>
    </row>
    <row r="402" spans="7:7" x14ac:dyDescent="0.25">
      <c r="G402" s="28"/>
    </row>
    <row r="403" spans="7:7" x14ac:dyDescent="0.25">
      <c r="G403" s="28"/>
    </row>
    <row r="404" spans="7:7" x14ac:dyDescent="0.25">
      <c r="G404" s="28"/>
    </row>
    <row r="405" spans="7:7" x14ac:dyDescent="0.25">
      <c r="G405" s="28"/>
    </row>
    <row r="406" spans="7:7" x14ac:dyDescent="0.25">
      <c r="G406" s="28"/>
    </row>
    <row r="407" spans="7:7" x14ac:dyDescent="0.25">
      <c r="G407" s="28"/>
    </row>
    <row r="408" spans="7:7" x14ac:dyDescent="0.25">
      <c r="G408" s="28"/>
    </row>
    <row r="409" spans="7:7" x14ac:dyDescent="0.25">
      <c r="G409" s="28"/>
    </row>
    <row r="410" spans="7:7" x14ac:dyDescent="0.25">
      <c r="G410" s="28"/>
    </row>
    <row r="411" spans="7:7" x14ac:dyDescent="0.25">
      <c r="G411" s="28"/>
    </row>
    <row r="412" spans="7:7" x14ac:dyDescent="0.25">
      <c r="G412" s="28"/>
    </row>
    <row r="413" spans="7:7" x14ac:dyDescent="0.25">
      <c r="G413" s="28"/>
    </row>
    <row r="414" spans="7:7" x14ac:dyDescent="0.25">
      <c r="G414" s="28"/>
    </row>
    <row r="415" spans="7:7" x14ac:dyDescent="0.25">
      <c r="G415" s="28"/>
    </row>
    <row r="416" spans="7:7" x14ac:dyDescent="0.25">
      <c r="G416" s="28"/>
    </row>
    <row r="417" spans="7:7" x14ac:dyDescent="0.25">
      <c r="G417" s="28"/>
    </row>
    <row r="418" spans="7:7" x14ac:dyDescent="0.25">
      <c r="G418" s="28"/>
    </row>
    <row r="419" spans="7:7" x14ac:dyDescent="0.25">
      <c r="G419" s="28"/>
    </row>
    <row r="420" spans="7:7" x14ac:dyDescent="0.25">
      <c r="G420" s="28"/>
    </row>
    <row r="421" spans="7:7" x14ac:dyDescent="0.25">
      <c r="G421" s="28"/>
    </row>
    <row r="422" spans="7:7" x14ac:dyDescent="0.25">
      <c r="G422" s="28"/>
    </row>
    <row r="423" spans="7:7" x14ac:dyDescent="0.25">
      <c r="G423" s="28"/>
    </row>
    <row r="424" spans="7:7" x14ac:dyDescent="0.25">
      <c r="G424" s="28"/>
    </row>
    <row r="425" spans="7:7" x14ac:dyDescent="0.25">
      <c r="G425" s="28"/>
    </row>
    <row r="426" spans="7:7" x14ac:dyDescent="0.25">
      <c r="G426" s="28"/>
    </row>
    <row r="427" spans="7:7" x14ac:dyDescent="0.25">
      <c r="G427" s="28"/>
    </row>
    <row r="428" spans="7:7" x14ac:dyDescent="0.25">
      <c r="G428" s="28"/>
    </row>
    <row r="429" spans="7:7" x14ac:dyDescent="0.25">
      <c r="G429" s="28"/>
    </row>
    <row r="430" spans="7:7" x14ac:dyDescent="0.25">
      <c r="G430" s="28"/>
    </row>
    <row r="431" spans="7:7" x14ac:dyDescent="0.25">
      <c r="G431" s="28"/>
    </row>
    <row r="432" spans="7:7" x14ac:dyDescent="0.25">
      <c r="G432" s="28"/>
    </row>
    <row r="433" spans="7:7" x14ac:dyDescent="0.25">
      <c r="G433" s="28"/>
    </row>
    <row r="434" spans="7:7" x14ac:dyDescent="0.25">
      <c r="G434" s="28"/>
    </row>
    <row r="435" spans="7:7" x14ac:dyDescent="0.25">
      <c r="G435" s="28"/>
    </row>
    <row r="436" spans="7:7" x14ac:dyDescent="0.25">
      <c r="G436" s="28"/>
    </row>
    <row r="437" spans="7:7" x14ac:dyDescent="0.25">
      <c r="G437" s="28"/>
    </row>
    <row r="438" spans="7:7" x14ac:dyDescent="0.25">
      <c r="G438" s="28"/>
    </row>
    <row r="439" spans="7:7" x14ac:dyDescent="0.25">
      <c r="G439" s="28"/>
    </row>
    <row r="440" spans="7:7" x14ac:dyDescent="0.25">
      <c r="G440" s="28"/>
    </row>
    <row r="441" spans="7:7" x14ac:dyDescent="0.25">
      <c r="G441" s="28"/>
    </row>
    <row r="442" spans="7:7" x14ac:dyDescent="0.25">
      <c r="G442" s="28"/>
    </row>
    <row r="443" spans="7:7" x14ac:dyDescent="0.25">
      <c r="G443" s="28"/>
    </row>
    <row r="444" spans="7:7" x14ac:dyDescent="0.25">
      <c r="G444" s="28"/>
    </row>
    <row r="445" spans="7:7" x14ac:dyDescent="0.25">
      <c r="G445" s="28"/>
    </row>
    <row r="446" spans="7:7" x14ac:dyDescent="0.25">
      <c r="G446" s="28"/>
    </row>
    <row r="447" spans="7:7" x14ac:dyDescent="0.25">
      <c r="G447" s="28"/>
    </row>
    <row r="448" spans="7:7" x14ac:dyDescent="0.25">
      <c r="G448" s="28"/>
    </row>
    <row r="449" spans="7:7" x14ac:dyDescent="0.25">
      <c r="G449" s="28"/>
    </row>
    <row r="450" spans="7:7" x14ac:dyDescent="0.25">
      <c r="G450" s="28"/>
    </row>
    <row r="451" spans="7:7" x14ac:dyDescent="0.25">
      <c r="G451" s="28"/>
    </row>
    <row r="452" spans="7:7" x14ac:dyDescent="0.25">
      <c r="G452" s="28"/>
    </row>
    <row r="453" spans="7:7" x14ac:dyDescent="0.25">
      <c r="G453" s="28"/>
    </row>
    <row r="454" spans="7:7" x14ac:dyDescent="0.25">
      <c r="G454" s="28"/>
    </row>
    <row r="455" spans="7:7" x14ac:dyDescent="0.25">
      <c r="G455" s="28"/>
    </row>
    <row r="456" spans="7:7" x14ac:dyDescent="0.25">
      <c r="G456" s="28"/>
    </row>
    <row r="457" spans="7:7" x14ac:dyDescent="0.25">
      <c r="G457" s="28"/>
    </row>
    <row r="458" spans="7:7" x14ac:dyDescent="0.25">
      <c r="G458" s="28"/>
    </row>
    <row r="459" spans="7:7" x14ac:dyDescent="0.25">
      <c r="G459" s="28"/>
    </row>
    <row r="460" spans="7:7" x14ac:dyDescent="0.25">
      <c r="G460" s="28"/>
    </row>
    <row r="461" spans="7:7" x14ac:dyDescent="0.25">
      <c r="G461" s="28"/>
    </row>
    <row r="462" spans="7:7" x14ac:dyDescent="0.25">
      <c r="G462" s="28"/>
    </row>
    <row r="463" spans="7:7" x14ac:dyDescent="0.25">
      <c r="G463" s="28"/>
    </row>
    <row r="464" spans="7:7" x14ac:dyDescent="0.25">
      <c r="G464" s="28"/>
    </row>
    <row r="465" spans="7:7" x14ac:dyDescent="0.25">
      <c r="G465" s="28"/>
    </row>
    <row r="466" spans="7:7" x14ac:dyDescent="0.25">
      <c r="G466" s="28"/>
    </row>
    <row r="467" spans="7:7" x14ac:dyDescent="0.25">
      <c r="G467" s="28"/>
    </row>
    <row r="468" spans="7:7" x14ac:dyDescent="0.25">
      <c r="G468" s="28"/>
    </row>
    <row r="469" spans="7:7" x14ac:dyDescent="0.25">
      <c r="G469" s="28"/>
    </row>
    <row r="470" spans="7:7" x14ac:dyDescent="0.25">
      <c r="G470" s="28"/>
    </row>
    <row r="471" spans="7:7" x14ac:dyDescent="0.25">
      <c r="G471" s="28"/>
    </row>
    <row r="472" spans="7:7" x14ac:dyDescent="0.25">
      <c r="G472" s="28"/>
    </row>
    <row r="473" spans="7:7" x14ac:dyDescent="0.25">
      <c r="G473" s="28"/>
    </row>
    <row r="474" spans="7:7" x14ac:dyDescent="0.25">
      <c r="G474" s="28"/>
    </row>
    <row r="475" spans="7:7" x14ac:dyDescent="0.25">
      <c r="G475" s="28"/>
    </row>
    <row r="476" spans="7:7" x14ac:dyDescent="0.25">
      <c r="G476" s="28"/>
    </row>
    <row r="477" spans="7:7" x14ac:dyDescent="0.25">
      <c r="G477" s="28"/>
    </row>
    <row r="478" spans="7:7" x14ac:dyDescent="0.25">
      <c r="G478" s="28"/>
    </row>
    <row r="479" spans="7:7" x14ac:dyDescent="0.25">
      <c r="G479" s="28"/>
    </row>
    <row r="480" spans="7:7" x14ac:dyDescent="0.25">
      <c r="G480" s="28"/>
    </row>
    <row r="481" spans="7:7" x14ac:dyDescent="0.25">
      <c r="G481" s="28"/>
    </row>
    <row r="482" spans="7:7" x14ac:dyDescent="0.25">
      <c r="G482" s="28"/>
    </row>
    <row r="483" spans="7:7" x14ac:dyDescent="0.25">
      <c r="G483" s="28"/>
    </row>
    <row r="484" spans="7:7" x14ac:dyDescent="0.25">
      <c r="G484" s="28"/>
    </row>
    <row r="485" spans="7:7" x14ac:dyDescent="0.25">
      <c r="G485" s="28"/>
    </row>
    <row r="486" spans="7:7" x14ac:dyDescent="0.25">
      <c r="G486" s="28"/>
    </row>
    <row r="487" spans="7:7" x14ac:dyDescent="0.25">
      <c r="G487" s="28"/>
    </row>
    <row r="488" spans="7:7" x14ac:dyDescent="0.25">
      <c r="G488" s="28"/>
    </row>
    <row r="489" spans="7:7" x14ac:dyDescent="0.25">
      <c r="G489" s="28"/>
    </row>
    <row r="490" spans="7:7" x14ac:dyDescent="0.25">
      <c r="G490" s="28"/>
    </row>
    <row r="491" spans="7:7" x14ac:dyDescent="0.25">
      <c r="G491" s="28"/>
    </row>
    <row r="492" spans="7:7" x14ac:dyDescent="0.25">
      <c r="G492" s="28"/>
    </row>
    <row r="493" spans="7:7" x14ac:dyDescent="0.25">
      <c r="G493" s="28"/>
    </row>
    <row r="494" spans="7:7" x14ac:dyDescent="0.25">
      <c r="G494" s="28"/>
    </row>
    <row r="495" spans="7:7" x14ac:dyDescent="0.25">
      <c r="G495" s="28"/>
    </row>
    <row r="496" spans="7:7" x14ac:dyDescent="0.25">
      <c r="G496" s="28"/>
    </row>
    <row r="497" spans="7:7" x14ac:dyDescent="0.25">
      <c r="G497" s="28"/>
    </row>
    <row r="498" spans="7:7" x14ac:dyDescent="0.25">
      <c r="G498" s="28"/>
    </row>
    <row r="499" spans="7:7" x14ac:dyDescent="0.25">
      <c r="G499" s="28"/>
    </row>
    <row r="500" spans="7:7" x14ac:dyDescent="0.25">
      <c r="G500" s="28"/>
    </row>
    <row r="501" spans="7:7" x14ac:dyDescent="0.25">
      <c r="G501" s="28"/>
    </row>
    <row r="502" spans="7:7" x14ac:dyDescent="0.25">
      <c r="G502" s="28"/>
    </row>
    <row r="503" spans="7:7" x14ac:dyDescent="0.25">
      <c r="G503" s="28"/>
    </row>
    <row r="504" spans="7:7" x14ac:dyDescent="0.25">
      <c r="G504" s="28"/>
    </row>
    <row r="505" spans="7:7" x14ac:dyDescent="0.25">
      <c r="G505" s="28"/>
    </row>
    <row r="506" spans="7:7" x14ac:dyDescent="0.25">
      <c r="G506" s="28"/>
    </row>
    <row r="507" spans="7:7" x14ac:dyDescent="0.25">
      <c r="G507" s="28"/>
    </row>
    <row r="508" spans="7:7" x14ac:dyDescent="0.25">
      <c r="G508" s="28"/>
    </row>
    <row r="509" spans="7:7" x14ac:dyDescent="0.25">
      <c r="G509" s="28"/>
    </row>
    <row r="510" spans="7:7" x14ac:dyDescent="0.25">
      <c r="G510" s="28"/>
    </row>
    <row r="511" spans="7:7" x14ac:dyDescent="0.25">
      <c r="G511" s="28"/>
    </row>
    <row r="512" spans="7:7" x14ac:dyDescent="0.25">
      <c r="G512" s="28"/>
    </row>
    <row r="513" spans="7:7" x14ac:dyDescent="0.25">
      <c r="G513" s="28"/>
    </row>
    <row r="514" spans="7:7" x14ac:dyDescent="0.25">
      <c r="G514" s="28"/>
    </row>
    <row r="515" spans="7:7" x14ac:dyDescent="0.25">
      <c r="G515" s="28"/>
    </row>
    <row r="516" spans="7:7" x14ac:dyDescent="0.25">
      <c r="G516" s="28"/>
    </row>
    <row r="517" spans="7:7" x14ac:dyDescent="0.25">
      <c r="G517" s="28"/>
    </row>
    <row r="518" spans="7:7" x14ac:dyDescent="0.25">
      <c r="G518" s="28"/>
    </row>
    <row r="519" spans="7:7" x14ac:dyDescent="0.25">
      <c r="G519" s="28"/>
    </row>
    <row r="520" spans="7:7" x14ac:dyDescent="0.25">
      <c r="G520" s="28"/>
    </row>
    <row r="521" spans="7:7" x14ac:dyDescent="0.25">
      <c r="G521" s="28"/>
    </row>
    <row r="522" spans="7:7" x14ac:dyDescent="0.25">
      <c r="G522" s="28"/>
    </row>
    <row r="523" spans="7:7" x14ac:dyDescent="0.25">
      <c r="G523" s="28"/>
    </row>
    <row r="524" spans="7:7" x14ac:dyDescent="0.25">
      <c r="G524" s="28"/>
    </row>
    <row r="525" spans="7:7" x14ac:dyDescent="0.25">
      <c r="G525" s="28"/>
    </row>
    <row r="526" spans="7:7" x14ac:dyDescent="0.25">
      <c r="G526" s="28"/>
    </row>
    <row r="527" spans="7:7" x14ac:dyDescent="0.25">
      <c r="G527" s="28"/>
    </row>
    <row r="528" spans="7:7" x14ac:dyDescent="0.25">
      <c r="G528" s="28"/>
    </row>
    <row r="529" spans="7:7" x14ac:dyDescent="0.25">
      <c r="G529" s="28"/>
    </row>
    <row r="530" spans="7:7" x14ac:dyDescent="0.25">
      <c r="G530" s="28"/>
    </row>
    <row r="531" spans="7:7" x14ac:dyDescent="0.25">
      <c r="G531" s="28"/>
    </row>
    <row r="532" spans="7:7" x14ac:dyDescent="0.25">
      <c r="G532" s="28"/>
    </row>
    <row r="533" spans="7:7" x14ac:dyDescent="0.25">
      <c r="G533" s="28"/>
    </row>
    <row r="534" spans="7:7" x14ac:dyDescent="0.25">
      <c r="G534" s="28"/>
    </row>
    <row r="535" spans="7:7" x14ac:dyDescent="0.25">
      <c r="G535" s="28"/>
    </row>
    <row r="536" spans="7:7" x14ac:dyDescent="0.25">
      <c r="G536" s="28"/>
    </row>
    <row r="537" spans="7:7" x14ac:dyDescent="0.25">
      <c r="G537" s="28"/>
    </row>
    <row r="538" spans="7:7" x14ac:dyDescent="0.25">
      <c r="G538" s="28"/>
    </row>
    <row r="539" spans="7:7" x14ac:dyDescent="0.25">
      <c r="G539" s="28"/>
    </row>
    <row r="540" spans="7:7" x14ac:dyDescent="0.25">
      <c r="G540" s="28"/>
    </row>
    <row r="541" spans="7:7" x14ac:dyDescent="0.25">
      <c r="G541" s="28"/>
    </row>
    <row r="542" spans="7:7" x14ac:dyDescent="0.25">
      <c r="G542" s="28"/>
    </row>
    <row r="543" spans="7:7" x14ac:dyDescent="0.25">
      <c r="G543" s="28"/>
    </row>
    <row r="544" spans="7:7" x14ac:dyDescent="0.25">
      <c r="G544" s="28"/>
    </row>
    <row r="545" spans="7:7" x14ac:dyDescent="0.25">
      <c r="G545" s="28"/>
    </row>
    <row r="546" spans="7:7" x14ac:dyDescent="0.25">
      <c r="G546" s="28"/>
    </row>
    <row r="547" spans="7:7" x14ac:dyDescent="0.25">
      <c r="G547" s="28"/>
    </row>
    <row r="548" spans="7:7" x14ac:dyDescent="0.25">
      <c r="G548" s="28"/>
    </row>
    <row r="549" spans="7:7" x14ac:dyDescent="0.25">
      <c r="G549" s="28"/>
    </row>
    <row r="550" spans="7:7" x14ac:dyDescent="0.25">
      <c r="G550" s="28"/>
    </row>
    <row r="551" spans="7:7" x14ac:dyDescent="0.25">
      <c r="G551" s="28"/>
    </row>
    <row r="552" spans="7:7" x14ac:dyDescent="0.25">
      <c r="G552" s="28"/>
    </row>
    <row r="553" spans="7:7" x14ac:dyDescent="0.25">
      <c r="G553" s="28"/>
    </row>
    <row r="554" spans="7:7" x14ac:dyDescent="0.25">
      <c r="G554" s="28"/>
    </row>
    <row r="555" spans="7:7" x14ac:dyDescent="0.25">
      <c r="G555" s="28"/>
    </row>
    <row r="556" spans="7:7" x14ac:dyDescent="0.25">
      <c r="G556" s="28"/>
    </row>
    <row r="557" spans="7:7" x14ac:dyDescent="0.25">
      <c r="G557" s="28"/>
    </row>
    <row r="558" spans="7:7" x14ac:dyDescent="0.25">
      <c r="G558" s="28"/>
    </row>
    <row r="559" spans="7:7" x14ac:dyDescent="0.25">
      <c r="G559" s="28"/>
    </row>
    <row r="560" spans="7:7" x14ac:dyDescent="0.25">
      <c r="G560" s="28"/>
    </row>
    <row r="561" spans="7:7" x14ac:dyDescent="0.25">
      <c r="G561" s="28"/>
    </row>
    <row r="562" spans="7:7" x14ac:dyDescent="0.25">
      <c r="G562" s="28"/>
    </row>
    <row r="563" spans="7:7" x14ac:dyDescent="0.25">
      <c r="G563" s="28"/>
    </row>
    <row r="564" spans="7:7" x14ac:dyDescent="0.25">
      <c r="G564" s="28"/>
    </row>
    <row r="565" spans="7:7" x14ac:dyDescent="0.25">
      <c r="G565" s="28"/>
    </row>
    <row r="566" spans="7:7" x14ac:dyDescent="0.25">
      <c r="G566" s="28"/>
    </row>
    <row r="567" spans="7:7" x14ac:dyDescent="0.25">
      <c r="G567" s="28"/>
    </row>
    <row r="568" spans="7:7" x14ac:dyDescent="0.25">
      <c r="G568" s="28"/>
    </row>
    <row r="569" spans="7:7" x14ac:dyDescent="0.25">
      <c r="G569" s="28"/>
    </row>
    <row r="570" spans="7:7" x14ac:dyDescent="0.25">
      <c r="G570" s="28"/>
    </row>
    <row r="571" spans="7:7" x14ac:dyDescent="0.25">
      <c r="G571" s="28"/>
    </row>
    <row r="572" spans="7:7" x14ac:dyDescent="0.25">
      <c r="G572" s="28"/>
    </row>
    <row r="573" spans="7:7" x14ac:dyDescent="0.25">
      <c r="G573" s="28"/>
    </row>
    <row r="574" spans="7:7" x14ac:dyDescent="0.25">
      <c r="G574" s="28"/>
    </row>
    <row r="575" spans="7:7" x14ac:dyDescent="0.25">
      <c r="G575" s="28"/>
    </row>
    <row r="576" spans="7:7" x14ac:dyDescent="0.25">
      <c r="G576" s="28"/>
    </row>
    <row r="577" spans="7:7" x14ac:dyDescent="0.25">
      <c r="G577" s="28"/>
    </row>
    <row r="578" spans="7:7" x14ac:dyDescent="0.25">
      <c r="G578" s="28"/>
    </row>
    <row r="579" spans="7:7" x14ac:dyDescent="0.25">
      <c r="G579" s="28"/>
    </row>
    <row r="580" spans="7:7" x14ac:dyDescent="0.25">
      <c r="G580" s="28"/>
    </row>
    <row r="581" spans="7:7" x14ac:dyDescent="0.25">
      <c r="G581" s="28"/>
    </row>
    <row r="582" spans="7:7" x14ac:dyDescent="0.25">
      <c r="G582" s="28"/>
    </row>
    <row r="583" spans="7:7" x14ac:dyDescent="0.25">
      <c r="G583" s="28"/>
    </row>
    <row r="584" spans="7:7" x14ac:dyDescent="0.25">
      <c r="G584" s="28"/>
    </row>
    <row r="585" spans="7:7" x14ac:dyDescent="0.25">
      <c r="G585" s="28"/>
    </row>
    <row r="586" spans="7:7" x14ac:dyDescent="0.25">
      <c r="G586" s="28"/>
    </row>
    <row r="587" spans="7:7" x14ac:dyDescent="0.25">
      <c r="G587" s="28"/>
    </row>
    <row r="588" spans="7:7" x14ac:dyDescent="0.25">
      <c r="G588" s="28"/>
    </row>
    <row r="589" spans="7:7" x14ac:dyDescent="0.25">
      <c r="G589" s="28"/>
    </row>
    <row r="590" spans="7:7" x14ac:dyDescent="0.25">
      <c r="G590" s="28"/>
    </row>
    <row r="591" spans="7:7" x14ac:dyDescent="0.25">
      <c r="G591" s="28"/>
    </row>
    <row r="592" spans="7:7" x14ac:dyDescent="0.25">
      <c r="G592" s="28"/>
    </row>
    <row r="593" spans="7:7" x14ac:dyDescent="0.25">
      <c r="G593" s="28"/>
    </row>
    <row r="594" spans="7:7" x14ac:dyDescent="0.25">
      <c r="G594" s="28"/>
    </row>
    <row r="595" spans="7:7" x14ac:dyDescent="0.25">
      <c r="G595" s="28"/>
    </row>
    <row r="596" spans="7:7" x14ac:dyDescent="0.25">
      <c r="G596" s="28"/>
    </row>
    <row r="597" spans="7:7" x14ac:dyDescent="0.25">
      <c r="G597" s="28"/>
    </row>
    <row r="598" spans="7:7" x14ac:dyDescent="0.25">
      <c r="G598" s="28"/>
    </row>
    <row r="599" spans="7:7" x14ac:dyDescent="0.25">
      <c r="G599" s="28"/>
    </row>
    <row r="600" spans="7:7" x14ac:dyDescent="0.25">
      <c r="G600" s="28"/>
    </row>
    <row r="601" spans="7:7" x14ac:dyDescent="0.25">
      <c r="G601" s="28"/>
    </row>
    <row r="602" spans="7:7" x14ac:dyDescent="0.25">
      <c r="G602" s="28"/>
    </row>
    <row r="603" spans="7:7" x14ac:dyDescent="0.25">
      <c r="G603" s="28"/>
    </row>
    <row r="604" spans="7:7" x14ac:dyDescent="0.25">
      <c r="G604" s="28"/>
    </row>
    <row r="605" spans="7:7" x14ac:dyDescent="0.25">
      <c r="G605" s="28"/>
    </row>
    <row r="606" spans="7:7" x14ac:dyDescent="0.25">
      <c r="G606" s="28"/>
    </row>
    <row r="607" spans="7:7" x14ac:dyDescent="0.25">
      <c r="G607" s="28"/>
    </row>
    <row r="608" spans="7:7" x14ac:dyDescent="0.25">
      <c r="G608" s="28"/>
    </row>
    <row r="609" spans="7:7" x14ac:dyDescent="0.25">
      <c r="G609" s="28"/>
    </row>
    <row r="610" spans="7:7" x14ac:dyDescent="0.25">
      <c r="G610" s="28"/>
    </row>
    <row r="611" spans="7:7" x14ac:dyDescent="0.25">
      <c r="G611" s="28"/>
    </row>
    <row r="612" spans="7:7" x14ac:dyDescent="0.25">
      <c r="G612" s="28"/>
    </row>
    <row r="613" spans="7:7" x14ac:dyDescent="0.25">
      <c r="G613" s="28"/>
    </row>
    <row r="614" spans="7:7" x14ac:dyDescent="0.25">
      <c r="G614" s="28"/>
    </row>
    <row r="615" spans="7:7" x14ac:dyDescent="0.25">
      <c r="G615" s="28"/>
    </row>
    <row r="616" spans="7:7" x14ac:dyDescent="0.25">
      <c r="G616" s="28"/>
    </row>
    <row r="617" spans="7:7" x14ac:dyDescent="0.25">
      <c r="G617" s="28"/>
    </row>
    <row r="618" spans="7:7" x14ac:dyDescent="0.25">
      <c r="G618" s="28"/>
    </row>
    <row r="619" spans="7:7" x14ac:dyDescent="0.25">
      <c r="G619" s="28"/>
    </row>
    <row r="620" spans="7:7" x14ac:dyDescent="0.25">
      <c r="G620" s="28"/>
    </row>
    <row r="621" spans="7:7" x14ac:dyDescent="0.25">
      <c r="G621" s="28"/>
    </row>
    <row r="622" spans="7:7" x14ac:dyDescent="0.25">
      <c r="G622" s="28"/>
    </row>
    <row r="623" spans="7:7" x14ac:dyDescent="0.25">
      <c r="G623" s="28"/>
    </row>
    <row r="624" spans="7:7" x14ac:dyDescent="0.25">
      <c r="G624" s="28"/>
    </row>
    <row r="625" spans="7:7" x14ac:dyDescent="0.25">
      <c r="G625" s="28"/>
    </row>
    <row r="626" spans="7:7" x14ac:dyDescent="0.25">
      <c r="G626" s="28"/>
    </row>
    <row r="627" spans="7:7" x14ac:dyDescent="0.25">
      <c r="G627" s="28"/>
    </row>
    <row r="628" spans="7:7" x14ac:dyDescent="0.25">
      <c r="G628" s="28"/>
    </row>
    <row r="629" spans="7:7" x14ac:dyDescent="0.25">
      <c r="G629" s="28"/>
    </row>
    <row r="630" spans="7:7" x14ac:dyDescent="0.25">
      <c r="G630" s="28"/>
    </row>
    <row r="631" spans="7:7" x14ac:dyDescent="0.25">
      <c r="G631" s="28"/>
    </row>
    <row r="632" spans="7:7" x14ac:dyDescent="0.25">
      <c r="G632" s="28"/>
    </row>
    <row r="633" spans="7:7" x14ac:dyDescent="0.25">
      <c r="G633" s="28"/>
    </row>
    <row r="634" spans="7:7" x14ac:dyDescent="0.25">
      <c r="G634" s="28"/>
    </row>
    <row r="635" spans="7:7" x14ac:dyDescent="0.25">
      <c r="G635" s="28"/>
    </row>
    <row r="636" spans="7:7" x14ac:dyDescent="0.25">
      <c r="G636" s="28"/>
    </row>
    <row r="637" spans="7:7" x14ac:dyDescent="0.25">
      <c r="G637" s="28"/>
    </row>
    <row r="638" spans="7:7" x14ac:dyDescent="0.25">
      <c r="G638" s="28"/>
    </row>
    <row r="639" spans="7:7" x14ac:dyDescent="0.25">
      <c r="G639" s="28"/>
    </row>
    <row r="640" spans="7:7" x14ac:dyDescent="0.25">
      <c r="G640" s="28"/>
    </row>
    <row r="641" spans="7:7" x14ac:dyDescent="0.25">
      <c r="G641" s="28"/>
    </row>
    <row r="642" spans="7:7" x14ac:dyDescent="0.25">
      <c r="G642" s="28"/>
    </row>
    <row r="643" spans="7:7" x14ac:dyDescent="0.25">
      <c r="G643" s="28"/>
    </row>
    <row r="644" spans="7:7" x14ac:dyDescent="0.25">
      <c r="G644" s="28"/>
    </row>
    <row r="645" spans="7:7" x14ac:dyDescent="0.25">
      <c r="G645" s="28"/>
    </row>
    <row r="646" spans="7:7" x14ac:dyDescent="0.25">
      <c r="G646" s="28"/>
    </row>
    <row r="647" spans="7:7" x14ac:dyDescent="0.25">
      <c r="G647" s="28"/>
    </row>
    <row r="648" spans="7:7" x14ac:dyDescent="0.25">
      <c r="G648" s="28"/>
    </row>
    <row r="649" spans="7:7" x14ac:dyDescent="0.25">
      <c r="G649" s="28"/>
    </row>
    <row r="650" spans="7:7" x14ac:dyDescent="0.25">
      <c r="G650" s="28"/>
    </row>
    <row r="651" spans="7:7" x14ac:dyDescent="0.25">
      <c r="G651" s="28"/>
    </row>
    <row r="652" spans="7:7" x14ac:dyDescent="0.25">
      <c r="G652" s="28"/>
    </row>
    <row r="653" spans="7:7" x14ac:dyDescent="0.25">
      <c r="G653" s="28"/>
    </row>
    <row r="654" spans="7:7" x14ac:dyDescent="0.25">
      <c r="G654" s="28"/>
    </row>
    <row r="655" spans="7:7" x14ac:dyDescent="0.25">
      <c r="G655" s="28"/>
    </row>
    <row r="656" spans="7:7" x14ac:dyDescent="0.25">
      <c r="G656" s="28"/>
    </row>
    <row r="657" spans="7:7" x14ac:dyDescent="0.25">
      <c r="G657" s="28"/>
    </row>
    <row r="658" spans="7:7" x14ac:dyDescent="0.25">
      <c r="G658" s="28"/>
    </row>
    <row r="659" spans="7:7" x14ac:dyDescent="0.25">
      <c r="G659" s="28"/>
    </row>
    <row r="660" spans="7:7" x14ac:dyDescent="0.25">
      <c r="G660" s="28"/>
    </row>
    <row r="661" spans="7:7" x14ac:dyDescent="0.25">
      <c r="G661" s="28"/>
    </row>
    <row r="662" spans="7:7" x14ac:dyDescent="0.25">
      <c r="G662" s="28"/>
    </row>
    <row r="663" spans="7:7" x14ac:dyDescent="0.25">
      <c r="G663" s="28"/>
    </row>
    <row r="664" spans="7:7" x14ac:dyDescent="0.25">
      <c r="G664" s="28"/>
    </row>
    <row r="665" spans="7:7" x14ac:dyDescent="0.25">
      <c r="G665" s="28"/>
    </row>
    <row r="666" spans="7:7" x14ac:dyDescent="0.25">
      <c r="G666" s="28"/>
    </row>
    <row r="667" spans="7:7" x14ac:dyDescent="0.25">
      <c r="G667" s="28"/>
    </row>
    <row r="668" spans="7:7" x14ac:dyDescent="0.25">
      <c r="G668" s="28"/>
    </row>
    <row r="669" spans="7:7" x14ac:dyDescent="0.25">
      <c r="G669" s="28"/>
    </row>
    <row r="670" spans="7:7" x14ac:dyDescent="0.25">
      <c r="G670" s="28"/>
    </row>
    <row r="671" spans="7:7" x14ac:dyDescent="0.25">
      <c r="G671" s="28"/>
    </row>
    <row r="672" spans="7:7" x14ac:dyDescent="0.25">
      <c r="G672" s="28"/>
    </row>
    <row r="673" spans="7:7" x14ac:dyDescent="0.25">
      <c r="G673" s="28"/>
    </row>
    <row r="674" spans="7:7" x14ac:dyDescent="0.25">
      <c r="G674" s="28"/>
    </row>
    <row r="675" spans="7:7" x14ac:dyDescent="0.25">
      <c r="G675" s="28"/>
    </row>
    <row r="676" spans="7:7" x14ac:dyDescent="0.25">
      <c r="G676" s="28"/>
    </row>
    <row r="677" spans="7:7" x14ac:dyDescent="0.25">
      <c r="G677" s="28"/>
    </row>
    <row r="678" spans="7:7" x14ac:dyDescent="0.25">
      <c r="G678" s="28"/>
    </row>
    <row r="679" spans="7:7" x14ac:dyDescent="0.25">
      <c r="G679" s="28"/>
    </row>
    <row r="680" spans="7:7" x14ac:dyDescent="0.25">
      <c r="G680" s="28"/>
    </row>
    <row r="681" spans="7:7" x14ac:dyDescent="0.25">
      <c r="G681" s="28"/>
    </row>
    <row r="682" spans="7:7" x14ac:dyDescent="0.25">
      <c r="G682" s="28"/>
    </row>
    <row r="683" spans="7:7" x14ac:dyDescent="0.25">
      <c r="G683" s="28"/>
    </row>
    <row r="684" spans="7:7" x14ac:dyDescent="0.25">
      <c r="G684" s="28"/>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D20" sqref="D20"/>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1</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NPV=$24.624)</v>
      </c>
      <c r="J9" s="647"/>
      <c r="K9" s="647"/>
      <c r="L9" s="647"/>
      <c r="M9" s="647"/>
      <c r="N9" s="647"/>
      <c r="O9" s="647"/>
      <c r="P9" s="647"/>
      <c r="Q9" s="647"/>
      <c r="R9" s="648"/>
      <c r="S9" s="643" t="str">
        <f>"Avoided MWD Purchase 
 ($Million; NPV=$"&amp;ROUND(W54,3)&amp;")"</f>
        <v>Avoided MWD Purchase 
 ($Million; NPV=$201.474)</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438" t="s">
        <v>75</v>
      </c>
      <c r="S10" s="437"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 1'!A11,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 1'!A12,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 1'!A13,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 1'!A14,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t="str">
        <f>IF(VLOOKUP(B15-1, 'Cost Analysis Input'!$B$2:$C$7, 2, TRUE) + 1 &lt;= $I$1, VLOOKUP(B15-1, 'Cost Analysis Input'!$B$2:$C$7, 2, TRUE) + 1, "MP Complete")</f>
        <v>MP Complete</v>
      </c>
      <c r="B15" s="84">
        <f t="shared" si="14"/>
        <v>2022</v>
      </c>
      <c r="C15" s="495">
        <v>0</v>
      </c>
      <c r="D15" s="495">
        <f>'Area Summary'!$C$41</f>
        <v>0</v>
      </c>
      <c r="E15" s="50">
        <f t="shared" si="15"/>
        <v>0.36499999999999999</v>
      </c>
      <c r="F15" s="50">
        <f t="shared" si="16"/>
        <v>0</v>
      </c>
      <c r="G15" s="67">
        <f t="shared" si="17"/>
        <v>0</v>
      </c>
      <c r="H15" s="51">
        <f t="shared" si="1"/>
        <v>0.42699837440000005</v>
      </c>
      <c r="I15" s="50">
        <f t="shared" si="2"/>
        <v>0</v>
      </c>
      <c r="J15" s="67">
        <f t="shared" si="3"/>
        <v>0</v>
      </c>
      <c r="K15" s="51">
        <f t="shared" si="3"/>
        <v>0.42699837440000005</v>
      </c>
      <c r="L15" s="50">
        <f t="shared" si="4"/>
        <v>0</v>
      </c>
      <c r="M15" s="58">
        <f t="shared" si="5"/>
        <v>0</v>
      </c>
      <c r="N15" s="58">
        <f t="shared" si="6"/>
        <v>0</v>
      </c>
      <c r="O15" s="50">
        <f t="shared" si="18"/>
        <v>0</v>
      </c>
      <c r="P15" s="67">
        <f t="shared" si="7"/>
        <v>0</v>
      </c>
      <c r="Q15" s="67">
        <f t="shared" si="19"/>
        <v>0.42699837440000005</v>
      </c>
      <c r="R15" s="59">
        <f t="shared" si="20"/>
        <v>12.468596595899999</v>
      </c>
      <c r="S15" s="494">
        <f>IF(NOT(EXACT(A15, "MP Complete")), INDEX(MP_new!$A$4:$J$9, MATCH(A15, MP_new!$A$4:$A$9, 0), 7) - 5000, IF(NOT(EXACT(A14, "MP Complete")), S14+5000, S14))</f>
        <v>0</v>
      </c>
      <c r="T15" s="493">
        <f>IF(EXACT($Q$5, "Yes"), IF(NOT(EXACT(A15, "MP Complete")), INDEX(MP_new!$A$4:$J$9, MATCH('Step 1'!A15, MP_new!$A$4:$A$9, 0), 10), T13), 0)</f>
        <v>5000</v>
      </c>
      <c r="U15" s="2">
        <f>('NPV Summary'!$B$15-S15)+T15</f>
        <v>5000</v>
      </c>
      <c r="V15" s="2">
        <f>LOOKUP(B15,Rates!$A$5:$B$168)</f>
        <v>1164</v>
      </c>
      <c r="W15" s="58">
        <f t="shared" si="8"/>
        <v>5.82</v>
      </c>
      <c r="X15" s="59">
        <f t="shared" si="24"/>
        <v>38.5</v>
      </c>
      <c r="Y15" s="12">
        <f t="shared" si="25"/>
        <v>5.3930016256000002</v>
      </c>
      <c r="Z15" s="12">
        <f t="shared" si="25"/>
        <v>26.031403404100001</v>
      </c>
      <c r="AA15" s="425">
        <f>IF(SUM(AA$11:AA14)&gt;0,0,IF(SUM(X15-R15)&gt;0,B15,0))</f>
        <v>0</v>
      </c>
      <c r="AB15" s="133">
        <f>ABS(Z15)*1000000/SUM(U$11:U15)</f>
        <v>743.7543829742857</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t="str">
        <f>IF(VLOOKUP(B16-1, 'Cost Analysis Input'!$B$2:$C$7, 2, TRUE) + 1 &lt;= $I$1, VLOOKUP(B16-1, 'Cost Analysis Input'!$B$2:$C$7, 2, TRUE) + 1, "MP Complete")</f>
        <v>MP Complete</v>
      </c>
      <c r="B16" s="83">
        <f t="shared" si="14"/>
        <v>2023</v>
      </c>
      <c r="C16" s="495">
        <v>0</v>
      </c>
      <c r="D16" s="495">
        <f>'Area Summary'!$C$41</f>
        <v>0</v>
      </c>
      <c r="E16" s="52">
        <f t="shared" si="15"/>
        <v>0.36499999999999999</v>
      </c>
      <c r="F16" s="52">
        <f t="shared" si="16"/>
        <v>0</v>
      </c>
      <c r="G16" s="53">
        <f t="shared" si="17"/>
        <v>0</v>
      </c>
      <c r="H16" s="54">
        <f t="shared" si="1"/>
        <v>0.44407830937600012</v>
      </c>
      <c r="I16" s="52">
        <f t="shared" si="2"/>
        <v>0</v>
      </c>
      <c r="J16" s="53">
        <f t="shared" si="3"/>
        <v>0</v>
      </c>
      <c r="K16" s="54">
        <f t="shared" si="3"/>
        <v>0.44407830937600012</v>
      </c>
      <c r="L16" s="52">
        <f t="shared" si="4"/>
        <v>0</v>
      </c>
      <c r="M16" s="56">
        <f t="shared" si="5"/>
        <v>0</v>
      </c>
      <c r="N16" s="56">
        <f t="shared" si="6"/>
        <v>0</v>
      </c>
      <c r="O16" s="52">
        <f t="shared" si="18"/>
        <v>0</v>
      </c>
      <c r="P16" s="53">
        <f t="shared" si="7"/>
        <v>0</v>
      </c>
      <c r="Q16" s="53">
        <f t="shared" si="19"/>
        <v>0.44407830937600012</v>
      </c>
      <c r="R16" s="57">
        <f t="shared" si="20"/>
        <v>12.912674905275999</v>
      </c>
      <c r="S16" s="494">
        <f>IF(NOT(EXACT(A16, "MP Complete")), INDEX(MP_new!$A$4:$J$9, MATCH(A16, MP_new!$A$4:$A$9, 0), 7) - 5000, IF(NOT(EXACT(A15, "MP Complete")), S15+5000, S15))</f>
        <v>0</v>
      </c>
      <c r="T16" s="493">
        <f>IF(EXACT($Q$5, "Yes"), IF(NOT(EXACT(A16, "MP Complete")), INDEX(MP_new!$A$4:$J$9, MATCH('Step 1'!A16, MP_new!$A$4:$A$9, 0), 10), T14), 0)</f>
        <v>5000</v>
      </c>
      <c r="U16" s="65">
        <f>('NPV Summary'!$B$15-S16)+T16</f>
        <v>5000</v>
      </c>
      <c r="V16" s="65">
        <f>LOOKUP(B16,Rates!$A$5:$B$168)</f>
        <v>1205</v>
      </c>
      <c r="W16" s="56">
        <f t="shared" si="8"/>
        <v>6.0250000000000004</v>
      </c>
      <c r="X16" s="57">
        <f t="shared" si="24"/>
        <v>44.524999999999999</v>
      </c>
      <c r="Y16" s="426">
        <f t="shared" si="25"/>
        <v>5.5809216906240007</v>
      </c>
      <c r="Z16" s="426">
        <f t="shared" si="25"/>
        <v>31.612325094724</v>
      </c>
      <c r="AA16" s="425">
        <f>IF(SUM(AA$11:AA15)&gt;0,0,IF(SUM(X16-R16)&gt;0,B16,0))</f>
        <v>0</v>
      </c>
      <c r="AB16" s="427">
        <f>ABS(Z16)*1000000/SUM(U$11:U16)</f>
        <v>790.30812736810003</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t="str">
        <f>IF(VLOOKUP(B17-1, 'Cost Analysis Input'!$B$2:$C$7, 2, TRUE) + 1 &lt;= $I$1, VLOOKUP(B17-1, 'Cost Analysis Input'!$B$2:$C$7, 2, TRUE) + 1, "MP Complete")</f>
        <v>MP Complete</v>
      </c>
      <c r="B17" s="84">
        <f t="shared" si="14"/>
        <v>2024</v>
      </c>
      <c r="C17" s="495">
        <v>0</v>
      </c>
      <c r="D17" s="495">
        <f>'Area Summary'!$C$41</f>
        <v>0</v>
      </c>
      <c r="E17" s="50">
        <f t="shared" si="15"/>
        <v>0.36499999999999999</v>
      </c>
      <c r="F17" s="50">
        <f t="shared" si="16"/>
        <v>0</v>
      </c>
      <c r="G17" s="67">
        <f t="shared" si="17"/>
        <v>0</v>
      </c>
      <c r="H17" s="51">
        <f t="shared" si="1"/>
        <v>0.46184144175104014</v>
      </c>
      <c r="I17" s="50">
        <f t="shared" si="2"/>
        <v>0</v>
      </c>
      <c r="J17" s="67">
        <f t="shared" si="3"/>
        <v>0</v>
      </c>
      <c r="K17" s="51">
        <f t="shared" si="3"/>
        <v>0.46184144175104014</v>
      </c>
      <c r="L17" s="50">
        <f t="shared" si="4"/>
        <v>0</v>
      </c>
      <c r="M17" s="58">
        <f t="shared" si="5"/>
        <v>0</v>
      </c>
      <c r="N17" s="58">
        <f t="shared" si="6"/>
        <v>0</v>
      </c>
      <c r="O17" s="50">
        <f t="shared" si="18"/>
        <v>0</v>
      </c>
      <c r="P17" s="67">
        <f t="shared" si="7"/>
        <v>0</v>
      </c>
      <c r="Q17" s="67">
        <f t="shared" si="19"/>
        <v>0.46184144175104014</v>
      </c>
      <c r="R17" s="59">
        <f t="shared" si="20"/>
        <v>13.37451634702704</v>
      </c>
      <c r="S17" s="494">
        <f>IF(NOT(EXACT(A17, "MP Complete")), INDEX(MP_new!$A$4:$J$9, MATCH(A17, MP_new!$A$4:$A$9, 0), 7) - 5000, IF(NOT(EXACT(A16, "MP Complete")), S16+5000, S16))</f>
        <v>0</v>
      </c>
      <c r="T17" s="493">
        <f>IF(EXACT($Q$5, "Yes"), IF(NOT(EXACT(A17, "MP Complete")), INDEX(MP_new!$A$4:$J$9, MATCH('Step 1'!A17, MP_new!$A$4:$A$9, 0), 10), T15), 0)</f>
        <v>5000</v>
      </c>
      <c r="U17" s="2">
        <f>('NPV Summary'!$B$15-S17)+T17</f>
        <v>5000</v>
      </c>
      <c r="V17" s="2">
        <f>LOOKUP(B17,Rates!$A$5:$B$168)</f>
        <v>1249</v>
      </c>
      <c r="W17" s="58">
        <f t="shared" si="8"/>
        <v>6.2450000000000001</v>
      </c>
      <c r="X17" s="59">
        <f t="shared" si="24"/>
        <v>50.769999999999996</v>
      </c>
      <c r="Y17" s="12">
        <f t="shared" si="25"/>
        <v>5.7831585582489602</v>
      </c>
      <c r="Z17" s="12">
        <f t="shared" si="25"/>
        <v>37.395483652972956</v>
      </c>
      <c r="AA17" s="425">
        <f>IF(SUM(AA$11:AA16)&gt;0,0,IF(SUM(X17-R17)&gt;0,B17,0))</f>
        <v>0</v>
      </c>
      <c r="AB17" s="133">
        <f>ABS(Z17)*1000000/SUM(U$11:U17)</f>
        <v>831.01074784384355</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5">
        <v>0</v>
      </c>
      <c r="D18" s="495">
        <f>'Area Summary'!$C$41</f>
        <v>0</v>
      </c>
      <c r="E18" s="52">
        <f t="shared" si="15"/>
        <v>0.36499999999999999</v>
      </c>
      <c r="F18" s="52">
        <f t="shared" si="16"/>
        <v>0</v>
      </c>
      <c r="G18" s="53">
        <f t="shared" si="17"/>
        <v>0</v>
      </c>
      <c r="H18" s="54">
        <f t="shared" si="1"/>
        <v>0.48031509942108169</v>
      </c>
      <c r="I18" s="52">
        <f t="shared" si="2"/>
        <v>0</v>
      </c>
      <c r="J18" s="53">
        <f t="shared" si="3"/>
        <v>0</v>
      </c>
      <c r="K18" s="54">
        <f t="shared" si="3"/>
        <v>0.48031509942108169</v>
      </c>
      <c r="L18" s="52">
        <f t="shared" si="4"/>
        <v>0</v>
      </c>
      <c r="M18" s="56">
        <f t="shared" si="5"/>
        <v>0</v>
      </c>
      <c r="N18" s="56">
        <f t="shared" si="6"/>
        <v>0</v>
      </c>
      <c r="O18" s="52">
        <f t="shared" si="18"/>
        <v>0</v>
      </c>
      <c r="P18" s="53">
        <f t="shared" si="7"/>
        <v>0</v>
      </c>
      <c r="Q18" s="53">
        <f t="shared" si="19"/>
        <v>0.48031509942108169</v>
      </c>
      <c r="R18" s="57">
        <f t="shared" si="20"/>
        <v>13.854831446448122</v>
      </c>
      <c r="S18" s="494">
        <f>IF(NOT(EXACT(A18, "MP Complete")), INDEX(MP_new!$A$4:$J$9, MATCH(A18, MP_new!$A$4:$A$9, 0), 7) - 5000, IF(NOT(EXACT(A17, "MP Complete")), S17+5000, S17))</f>
        <v>0</v>
      </c>
      <c r="T18" s="493">
        <f>IF(EXACT($Q$5, "Yes"), IF(NOT(EXACT(A18, "MP Complete")), INDEX(MP_new!$A$4:$J$9, MATCH('Step 1'!A18, MP_new!$A$4:$A$9, 0), 10), T16), 0)</f>
        <v>5000</v>
      </c>
      <c r="U18" s="65">
        <f>('NPV Summary'!$B$15-S18)+T18</f>
        <v>5000</v>
      </c>
      <c r="V18" s="65">
        <f>LOOKUP(B18,Rates!$A$5:$B$168)</f>
        <v>1296</v>
      </c>
      <c r="W18" s="56">
        <f t="shared" si="8"/>
        <v>6.48</v>
      </c>
      <c r="X18" s="57">
        <f t="shared" si="24"/>
        <v>57.25</v>
      </c>
      <c r="Y18" s="426">
        <f t="shared" si="25"/>
        <v>5.9996849005789183</v>
      </c>
      <c r="Z18" s="426">
        <f t="shared" si="25"/>
        <v>43.395168553551876</v>
      </c>
      <c r="AA18" s="425">
        <f>IF(SUM(AA$11:AA17)&gt;0,0,IF(SUM(X18-R18)&gt;0,B18,0))</f>
        <v>0</v>
      </c>
      <c r="AB18" s="427">
        <f>ABS(Z18)*1000000/SUM(U$11:U18)</f>
        <v>867.90337107103755</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5">
        <v>0</v>
      </c>
      <c r="D19" s="495">
        <f>'Area Summary'!$C$41</f>
        <v>0</v>
      </c>
      <c r="E19" s="50">
        <f t="shared" si="15"/>
        <v>0.36499999999999999</v>
      </c>
      <c r="F19" s="50">
        <f t="shared" si="16"/>
        <v>0</v>
      </c>
      <c r="G19" s="67">
        <f t="shared" si="17"/>
        <v>0</v>
      </c>
      <c r="H19" s="51">
        <f t="shared" si="1"/>
        <v>0.49952770339792502</v>
      </c>
      <c r="I19" s="50">
        <f t="shared" si="2"/>
        <v>0</v>
      </c>
      <c r="J19" s="67">
        <f t="shared" si="3"/>
        <v>0</v>
      </c>
      <c r="K19" s="51">
        <f t="shared" si="3"/>
        <v>0.49952770339792502</v>
      </c>
      <c r="L19" s="50">
        <f t="shared" si="4"/>
        <v>0</v>
      </c>
      <c r="M19" s="58">
        <f t="shared" si="5"/>
        <v>0</v>
      </c>
      <c r="N19" s="58">
        <f t="shared" si="6"/>
        <v>0</v>
      </c>
      <c r="O19" s="50">
        <f t="shared" si="18"/>
        <v>0</v>
      </c>
      <c r="P19" s="67">
        <f t="shared" si="7"/>
        <v>0</v>
      </c>
      <c r="Q19" s="67">
        <f t="shared" si="19"/>
        <v>0.49952770339792502</v>
      </c>
      <c r="R19" s="59">
        <f t="shared" si="20"/>
        <v>14.354359149846047</v>
      </c>
      <c r="S19" s="494">
        <f>IF(NOT(EXACT(A19, "MP Complete")), INDEX(MP_new!$A$4:$J$9, MATCH(A19, MP_new!$A$4:$A$9, 0), 7) - 5000, IF(NOT(EXACT(A18, "MP Complete")), S18+5000, S18))</f>
        <v>0</v>
      </c>
      <c r="T19" s="493">
        <f>IF(EXACT($Q$5, "Yes"), IF(NOT(EXACT(A19, "MP Complete")), INDEX(MP_new!$A$4:$J$9, MATCH('Step 1'!A19, MP_new!$A$4:$A$9, 0), 10), T17), 0)</f>
        <v>5000</v>
      </c>
      <c r="U19" s="2">
        <f>('NPV Summary'!$B$15-S19)+T19</f>
        <v>5000</v>
      </c>
      <c r="V19" s="2">
        <f>LOOKUP(B19,Rates!$A$5:$B$168)</f>
        <v>1344</v>
      </c>
      <c r="W19" s="58">
        <f t="shared" si="8"/>
        <v>6.72</v>
      </c>
      <c r="X19" s="59">
        <f t="shared" si="24"/>
        <v>63.97</v>
      </c>
      <c r="Y19" s="12">
        <f t="shared" si="25"/>
        <v>6.2204722966020745</v>
      </c>
      <c r="Z19" s="12">
        <f t="shared" si="25"/>
        <v>49.615640850153952</v>
      </c>
      <c r="AA19" s="425">
        <f>IF(SUM(AA$11:AA18)&gt;0,0,IF(SUM(X19-R19)&gt;0,B19,0))</f>
        <v>0</v>
      </c>
      <c r="AB19" s="133">
        <f>ABS(Z19)*1000000/SUM(U$11:U19)</f>
        <v>902.10256091189001</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5">
        <v>0</v>
      </c>
      <c r="D20" s="495">
        <f>'Area Summary'!$C$41</f>
        <v>0</v>
      </c>
      <c r="E20" s="52">
        <f t="shared" si="15"/>
        <v>0.36499999999999999</v>
      </c>
      <c r="F20" s="52">
        <f t="shared" si="16"/>
        <v>0</v>
      </c>
      <c r="G20" s="53">
        <f t="shared" si="17"/>
        <v>0</v>
      </c>
      <c r="H20" s="54">
        <f t="shared" si="1"/>
        <v>0.5195088115338421</v>
      </c>
      <c r="I20" s="52">
        <f t="shared" si="2"/>
        <v>0</v>
      </c>
      <c r="J20" s="53">
        <f t="shared" si="3"/>
        <v>0</v>
      </c>
      <c r="K20" s="54">
        <f t="shared" si="3"/>
        <v>0.5195088115338421</v>
      </c>
      <c r="L20" s="52">
        <f t="shared" si="4"/>
        <v>0</v>
      </c>
      <c r="M20" s="56">
        <f t="shared" si="5"/>
        <v>0</v>
      </c>
      <c r="N20" s="56">
        <f t="shared" si="6"/>
        <v>0</v>
      </c>
      <c r="O20" s="52">
        <f t="shared" si="18"/>
        <v>0</v>
      </c>
      <c r="P20" s="53">
        <f t="shared" si="7"/>
        <v>0</v>
      </c>
      <c r="Q20" s="53">
        <f t="shared" si="19"/>
        <v>0.5195088115338421</v>
      </c>
      <c r="R20" s="57">
        <f t="shared" si="20"/>
        <v>14.87386796137989</v>
      </c>
      <c r="S20" s="494">
        <f>IF(NOT(EXACT(A20, "MP Complete")), INDEX(MP_new!$A$4:$J$9, MATCH(A20, MP_new!$A$4:$A$9, 0), 7) - 5000, IF(NOT(EXACT(A19, "MP Complete")), S19+5000, S19))</f>
        <v>0</v>
      </c>
      <c r="T20" s="493">
        <f>IF(EXACT($Q$5, "Yes"), IF(NOT(EXACT(A20, "MP Complete")), INDEX(MP_new!$A$4:$J$9, MATCH('Step 1'!A20, MP_new!$A$4:$A$9, 0), 10), T18), 0)</f>
        <v>5000</v>
      </c>
      <c r="U20" s="65">
        <f>('NPV Summary'!$B$15-S20)+T20</f>
        <v>5000</v>
      </c>
      <c r="V20" s="65">
        <f>LOOKUP(B20,Rates!$A$5:$B$168)</f>
        <v>1392.384</v>
      </c>
      <c r="W20" s="56">
        <f t="shared" si="8"/>
        <v>6.9619200000000001</v>
      </c>
      <c r="X20" s="57">
        <f t="shared" si="24"/>
        <v>70.931920000000005</v>
      </c>
      <c r="Y20" s="426">
        <f t="shared" si="25"/>
        <v>6.4424111884661581</v>
      </c>
      <c r="Z20" s="426">
        <f t="shared" si="25"/>
        <v>56.058052038620119</v>
      </c>
      <c r="AA20" s="425">
        <f>IF(SUM(AA$11:AA19)&gt;0,0,IF(SUM(X20-R20)&gt;0,B20,0))</f>
        <v>0</v>
      </c>
      <c r="AB20" s="427">
        <f>ABS(Z20)*1000000/SUM(U$11:U20)</f>
        <v>934.30086731033532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0.36499999999999999</v>
      </c>
      <c r="F21" s="50">
        <f t="shared" si="16"/>
        <v>0</v>
      </c>
      <c r="G21" s="67">
        <f t="shared" si="17"/>
        <v>0</v>
      </c>
      <c r="H21" s="51">
        <f t="shared" si="1"/>
        <v>0.54028916399519578</v>
      </c>
      <c r="I21" s="50">
        <f t="shared" si="2"/>
        <v>0</v>
      </c>
      <c r="J21" s="67">
        <f t="shared" si="3"/>
        <v>0</v>
      </c>
      <c r="K21" s="51">
        <f t="shared" si="3"/>
        <v>0.54028916399519578</v>
      </c>
      <c r="L21" s="50">
        <f t="shared" si="4"/>
        <v>0</v>
      </c>
      <c r="M21" s="58">
        <f t="shared" si="5"/>
        <v>0</v>
      </c>
      <c r="N21" s="58">
        <f t="shared" si="6"/>
        <v>0</v>
      </c>
      <c r="O21" s="50">
        <f t="shared" si="18"/>
        <v>0</v>
      </c>
      <c r="P21" s="67">
        <f t="shared" si="7"/>
        <v>0</v>
      </c>
      <c r="Q21" s="67">
        <f t="shared" si="19"/>
        <v>0.54028916399519578</v>
      </c>
      <c r="R21" s="59">
        <f t="shared" si="20"/>
        <v>15.414157125375086</v>
      </c>
      <c r="S21" s="494">
        <f>IF(NOT(EXACT(A21, "MP Complete")), INDEX(MP_new!$A$4:$J$9, MATCH(A21, MP_new!$A$4:$A$9, 0), 7) - 5000, IF(NOT(EXACT(A20, "MP Complete")), S20+5000, S20))</f>
        <v>0</v>
      </c>
      <c r="T21" s="493">
        <f>IF(EXACT($Q$5, "Yes"), IF(NOT(EXACT(A21, "MP Complete")), INDEX(MP_new!$A$4:$J$9, MATCH('Step 1'!A21, MP_new!$A$4:$A$9, 0), 10), T19), 0)</f>
        <v>5000</v>
      </c>
      <c r="U21" s="2">
        <f>('NPV Summary'!$B$15-S21)+T21</f>
        <v>5000</v>
      </c>
      <c r="V21" s="2">
        <f>LOOKUP(B21,Rates!$A$5:$B$168)</f>
        <v>1442.509824</v>
      </c>
      <c r="W21" s="58">
        <f t="shared" si="8"/>
        <v>7.2125491200000003</v>
      </c>
      <c r="X21" s="59">
        <f t="shared" si="24"/>
        <v>78.144469120000011</v>
      </c>
      <c r="Y21" s="12">
        <f t="shared" si="25"/>
        <v>6.6722599560048046</v>
      </c>
      <c r="Z21" s="12">
        <f t="shared" si="25"/>
        <v>62.730311994624927</v>
      </c>
      <c r="AA21" s="425">
        <f>IF(SUM(AA$11:AA20)&gt;0,0,IF(SUM(X21-R21)&gt;0,B21,0))</f>
        <v>0</v>
      </c>
      <c r="AB21" s="133">
        <f>ABS(Z21)*1000000/SUM(U$11:U21)</f>
        <v>965.08172299422961</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0.36499999999999999</v>
      </c>
      <c r="F22" s="52">
        <f t="shared" si="16"/>
        <v>0</v>
      </c>
      <c r="G22" s="53">
        <f t="shared" si="17"/>
        <v>0</v>
      </c>
      <c r="H22" s="54">
        <f t="shared" si="1"/>
        <v>0.56190073055500356</v>
      </c>
      <c r="I22" s="52">
        <f t="shared" si="2"/>
        <v>0</v>
      </c>
      <c r="J22" s="53">
        <f t="shared" si="3"/>
        <v>0</v>
      </c>
      <c r="K22" s="54">
        <f t="shared" si="3"/>
        <v>0.56190073055500356</v>
      </c>
      <c r="L22" s="52">
        <f t="shared" si="4"/>
        <v>0</v>
      </c>
      <c r="M22" s="56">
        <f t="shared" si="5"/>
        <v>0</v>
      </c>
      <c r="N22" s="56">
        <f t="shared" si="6"/>
        <v>0</v>
      </c>
      <c r="O22" s="52">
        <f t="shared" si="18"/>
        <v>0</v>
      </c>
      <c r="P22" s="53">
        <f t="shared" si="7"/>
        <v>0</v>
      </c>
      <c r="Q22" s="53">
        <f t="shared" si="19"/>
        <v>0.56190073055500356</v>
      </c>
      <c r="R22" s="57">
        <f t="shared" si="20"/>
        <v>15.976057855930089</v>
      </c>
      <c r="S22" s="494">
        <f>IF(NOT(EXACT(A22, "MP Complete")), INDEX(MP_new!$A$4:$J$9, MATCH(A22, MP_new!$A$4:$A$9, 0), 7) - 5000, IF(NOT(EXACT(A21, "MP Complete")), S21+5000, S21))</f>
        <v>0</v>
      </c>
      <c r="T22" s="493">
        <f>IF(EXACT($Q$5, "Yes"), IF(NOT(EXACT(A22, "MP Complete")), INDEX(MP_new!$A$4:$J$9, MATCH('Step 1'!A22, MP_new!$A$4:$A$9, 0), 10), T20), 0)</f>
        <v>5000</v>
      </c>
      <c r="U22" s="65">
        <f>('NPV Summary'!$B$15-S22)+T22</f>
        <v>5000</v>
      </c>
      <c r="V22" s="65">
        <f>LOOKUP(B22,Rates!$A$5:$B$168)</f>
        <v>1494.440177664</v>
      </c>
      <c r="W22" s="56">
        <f t="shared" si="8"/>
        <v>7.4722008883199997</v>
      </c>
      <c r="X22" s="57">
        <f t="shared" si="24"/>
        <v>85.616670008320014</v>
      </c>
      <c r="Y22" s="426">
        <f t="shared" si="25"/>
        <v>6.9103001577649961</v>
      </c>
      <c r="Z22" s="426">
        <f t="shared" si="25"/>
        <v>69.64061215238992</v>
      </c>
      <c r="AA22" s="425">
        <f>IF(SUM(AA$11:AA21)&gt;0,0,IF(SUM(X22-R22)&gt;0,B22,0))</f>
        <v>0</v>
      </c>
      <c r="AB22" s="427">
        <f>ABS(Z22)*1000000/SUM(U$11:U22)</f>
        <v>994.8658878912845</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0.36499999999999999</v>
      </c>
      <c r="F23" s="50">
        <f t="shared" si="16"/>
        <v>0</v>
      </c>
      <c r="G23" s="67">
        <f t="shared" si="17"/>
        <v>0</v>
      </c>
      <c r="H23" s="51">
        <f t="shared" si="1"/>
        <v>0.58437675977720382</v>
      </c>
      <c r="I23" s="50">
        <f t="shared" si="2"/>
        <v>0</v>
      </c>
      <c r="J23" s="67">
        <f t="shared" si="3"/>
        <v>0</v>
      </c>
      <c r="K23" s="51">
        <f t="shared" si="3"/>
        <v>0.58437675977720382</v>
      </c>
      <c r="L23" s="50">
        <f t="shared" si="4"/>
        <v>0</v>
      </c>
      <c r="M23" s="58">
        <f t="shared" si="5"/>
        <v>0</v>
      </c>
      <c r="N23" s="58">
        <f t="shared" si="6"/>
        <v>0</v>
      </c>
      <c r="O23" s="50">
        <f t="shared" si="18"/>
        <v>0</v>
      </c>
      <c r="P23" s="67">
        <f t="shared" si="7"/>
        <v>0</v>
      </c>
      <c r="Q23" s="67">
        <f t="shared" si="19"/>
        <v>0.58437675977720382</v>
      </c>
      <c r="R23" s="59">
        <f t="shared" si="20"/>
        <v>16.560434615707294</v>
      </c>
      <c r="S23" s="494">
        <f>IF(NOT(EXACT(A23, "MP Complete")), INDEX(MP_new!$A$4:$J$9, MATCH(A23, MP_new!$A$4:$A$9, 0), 7) - 5000, IF(NOT(EXACT(A22, "MP Complete")), S22+5000, S22))</f>
        <v>0</v>
      </c>
      <c r="T23" s="493">
        <f>IF(EXACT($Q$5, "Yes"), IF(NOT(EXACT(A23, "MP Complete")), INDEX(MP_new!$A$4:$J$9, MATCH('Step 1'!A23, MP_new!$A$4:$A$9, 0), 10), T21), 0)</f>
        <v>5000</v>
      </c>
      <c r="U23" s="2">
        <f>('NPV Summary'!$B$15-S23)+T23</f>
        <v>5000</v>
      </c>
      <c r="V23" s="2">
        <f>LOOKUP(B23,Rates!$A$5:$B$168)</f>
        <v>1548.240024059904</v>
      </c>
      <c r="W23" s="58">
        <f t="shared" si="8"/>
        <v>7.7412001202995198</v>
      </c>
      <c r="X23" s="59">
        <f t="shared" si="24"/>
        <v>93.357870128619538</v>
      </c>
      <c r="Y23" s="12">
        <f t="shared" si="25"/>
        <v>7.1568233605223162</v>
      </c>
      <c r="Z23" s="12">
        <f t="shared" si="25"/>
        <v>76.797435512912244</v>
      </c>
      <c r="AA23" s="425">
        <f>IF(SUM(AA$11:AA22)&gt;0,0,IF(SUM(X23-R23)&gt;0,B23,0))</f>
        <v>0</v>
      </c>
      <c r="AB23" s="133">
        <f>ABS(Z23)*1000000/SUM(U$11:U23)</f>
        <v>1023.96580683883</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0.36499999999999999</v>
      </c>
      <c r="F24" s="52">
        <f t="shared" si="16"/>
        <v>0</v>
      </c>
      <c r="G24" s="53">
        <f t="shared" si="17"/>
        <v>0</v>
      </c>
      <c r="H24" s="54">
        <f t="shared" si="1"/>
        <v>0.60775183016829204</v>
      </c>
      <c r="I24" s="52">
        <f t="shared" si="2"/>
        <v>0</v>
      </c>
      <c r="J24" s="53">
        <f t="shared" si="3"/>
        <v>0</v>
      </c>
      <c r="K24" s="54">
        <f t="shared" si="3"/>
        <v>0.60775183016829204</v>
      </c>
      <c r="L24" s="52">
        <f t="shared" si="4"/>
        <v>0</v>
      </c>
      <c r="M24" s="56">
        <f t="shared" si="5"/>
        <v>0</v>
      </c>
      <c r="N24" s="56">
        <f t="shared" si="6"/>
        <v>0</v>
      </c>
      <c r="O24" s="52">
        <f t="shared" si="18"/>
        <v>0</v>
      </c>
      <c r="P24" s="53">
        <f t="shared" si="7"/>
        <v>0</v>
      </c>
      <c r="Q24" s="53">
        <f t="shared" si="19"/>
        <v>0.60775183016829204</v>
      </c>
      <c r="R24" s="57">
        <f t="shared" si="20"/>
        <v>17.168186445875588</v>
      </c>
      <c r="S24" s="494">
        <f>IF(NOT(EXACT(A24, "MP Complete")), INDEX(MP_new!$A$4:$J$9, MATCH(A24, MP_new!$A$4:$A$9, 0), 7) - 5000, IF(NOT(EXACT(A23, "MP Complete")), S23+5000, S23))</f>
        <v>0</v>
      </c>
      <c r="T24" s="493">
        <f>IF(EXACT($Q$5, "Yes"), IF(NOT(EXACT(A24, "MP Complete")), INDEX(MP_new!$A$4:$J$9, MATCH('Step 1'!A24, MP_new!$A$4:$A$9, 0), 10), T22), 0)</f>
        <v>5000</v>
      </c>
      <c r="U24" s="65">
        <f>('NPV Summary'!$B$15-S24)+T24</f>
        <v>5000</v>
      </c>
      <c r="V24" s="65">
        <f>LOOKUP(B24,Rates!$A$5:$B$168)</f>
        <v>1603.9766649260607</v>
      </c>
      <c r="W24" s="56">
        <f t="shared" si="8"/>
        <v>8.0198833246303032</v>
      </c>
      <c r="X24" s="57">
        <f t="shared" si="24"/>
        <v>101.37775345324984</v>
      </c>
      <c r="Y24" s="426">
        <f t="shared" si="25"/>
        <v>7.4121314944620114</v>
      </c>
      <c r="Z24" s="426">
        <f t="shared" si="25"/>
        <v>84.209567007374247</v>
      </c>
      <c r="AA24" s="425">
        <f>IF(SUM(AA$11:AA23)&gt;0,0,IF(SUM(X24-R24)&gt;0,B24,0))</f>
        <v>0</v>
      </c>
      <c r="AB24" s="427">
        <f>ABS(Z24)*1000000/SUM(U$11:U24)</f>
        <v>1052.619587592178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0.36499999999999999</v>
      </c>
      <c r="F25" s="50">
        <f t="shared" si="16"/>
        <v>0</v>
      </c>
      <c r="G25" s="67">
        <f t="shared" si="17"/>
        <v>0</v>
      </c>
      <c r="H25" s="51">
        <f t="shared" si="1"/>
        <v>0.63206190337502366</v>
      </c>
      <c r="I25" s="50">
        <f t="shared" si="2"/>
        <v>0</v>
      </c>
      <c r="J25" s="67">
        <f t="shared" si="3"/>
        <v>0</v>
      </c>
      <c r="K25" s="51">
        <f t="shared" si="3"/>
        <v>0.63206190337502366</v>
      </c>
      <c r="L25" s="50">
        <f t="shared" si="4"/>
        <v>0</v>
      </c>
      <c r="M25" s="58">
        <f t="shared" si="5"/>
        <v>0</v>
      </c>
      <c r="N25" s="58">
        <f t="shared" si="6"/>
        <v>0</v>
      </c>
      <c r="O25" s="50">
        <f t="shared" si="18"/>
        <v>0</v>
      </c>
      <c r="P25" s="67">
        <f t="shared" si="7"/>
        <v>0</v>
      </c>
      <c r="Q25" s="67">
        <f t="shared" si="19"/>
        <v>0.63206190337502366</v>
      </c>
      <c r="R25" s="59">
        <f t="shared" si="20"/>
        <v>17.800248349250612</v>
      </c>
      <c r="S25" s="494">
        <f>IF(NOT(EXACT(A25, "MP Complete")), INDEX(MP_new!$A$4:$J$9, MATCH(A25, MP_new!$A$4:$A$9, 0), 7) - 5000, IF(NOT(EXACT(A24, "MP Complete")), S24+5000, S24))</f>
        <v>0</v>
      </c>
      <c r="T25" s="493">
        <f>IF(EXACT($Q$5, "Yes"), IF(NOT(EXACT(A25, "MP Complete")), INDEX(MP_new!$A$4:$J$9, MATCH('Step 1'!A25, MP_new!$A$4:$A$9, 0), 10), T23), 0)</f>
        <v>5000</v>
      </c>
      <c r="U25" s="2">
        <f>('NPV Summary'!$B$15-S25)+T25</f>
        <v>5000</v>
      </c>
      <c r="V25" s="2">
        <f>LOOKUP(B25,Rates!$A$5:$B$168)</f>
        <v>1661.719824863399</v>
      </c>
      <c r="W25" s="58">
        <f t="shared" si="8"/>
        <v>8.308599124316995</v>
      </c>
      <c r="X25" s="59">
        <f t="shared" si="24"/>
        <v>109.68635257756684</v>
      </c>
      <c r="Y25" s="12">
        <f t="shared" si="25"/>
        <v>7.6765372209419711</v>
      </c>
      <c r="Z25" s="12">
        <f t="shared" si="25"/>
        <v>91.886104228316228</v>
      </c>
      <c r="AA25" s="425">
        <f>IF(SUM(AA$11:AA24)&gt;0,0,IF(SUM(X25-R25)&gt;0,B25,0))</f>
        <v>0</v>
      </c>
      <c r="AB25" s="133">
        <f>ABS(Z25)*1000000/SUM(U$11:U25)</f>
        <v>1081.0129909213674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0.36499999999999999</v>
      </c>
      <c r="F26" s="52">
        <f t="shared" si="16"/>
        <v>0</v>
      </c>
      <c r="G26" s="53">
        <f t="shared" si="17"/>
        <v>0</v>
      </c>
      <c r="H26" s="54">
        <f t="shared" si="1"/>
        <v>0.65734437951002456</v>
      </c>
      <c r="I26" s="52">
        <f t="shared" si="2"/>
        <v>0</v>
      </c>
      <c r="J26" s="53">
        <f t="shared" si="3"/>
        <v>0</v>
      </c>
      <c r="K26" s="54">
        <f t="shared" si="3"/>
        <v>0.65734437951002456</v>
      </c>
      <c r="L26" s="52">
        <f t="shared" si="4"/>
        <v>0</v>
      </c>
      <c r="M26" s="56">
        <f t="shared" si="5"/>
        <v>0</v>
      </c>
      <c r="N26" s="56">
        <f t="shared" si="6"/>
        <v>0</v>
      </c>
      <c r="O26" s="52">
        <f t="shared" si="18"/>
        <v>0</v>
      </c>
      <c r="P26" s="53">
        <f t="shared" si="7"/>
        <v>0</v>
      </c>
      <c r="Q26" s="53">
        <f t="shared" si="19"/>
        <v>0.65734437951002456</v>
      </c>
      <c r="R26" s="57">
        <f t="shared" si="20"/>
        <v>18.457592728760638</v>
      </c>
      <c r="S26" s="494">
        <f>IF(NOT(EXACT(A26, "MP Complete")), INDEX(MP_new!$A$4:$J$9, MATCH(A26, MP_new!$A$4:$A$9, 0), 7) - 5000, IF(NOT(EXACT(A25, "MP Complete")), S25+5000, S25))</f>
        <v>0</v>
      </c>
      <c r="T26" s="493">
        <f>IF(EXACT($Q$5, "Yes"), IF(NOT(EXACT(A26, "MP Complete")), INDEX(MP_new!$A$4:$J$9, MATCH('Step 1'!A26, MP_new!$A$4:$A$9, 0), 10), T24), 0)</f>
        <v>5000</v>
      </c>
      <c r="U26" s="65">
        <f>('NPV Summary'!$B$15-S26)+T26</f>
        <v>5000</v>
      </c>
      <c r="V26" s="65">
        <f>LOOKUP(B26,Rates!$A$5:$B$168)</f>
        <v>1721.5417385584815</v>
      </c>
      <c r="W26" s="56">
        <f t="shared" si="8"/>
        <v>8.6077086927924089</v>
      </c>
      <c r="X26" s="57">
        <f t="shared" si="24"/>
        <v>118.29406127035925</v>
      </c>
      <c r="Y26" s="426">
        <f t="shared" si="25"/>
        <v>7.9503643132823845</v>
      </c>
      <c r="Z26" s="426">
        <f t="shared" si="25"/>
        <v>99.836468541598606</v>
      </c>
      <c r="AA26" s="425">
        <f>IF(SUM(AA$11:AA25)&gt;0,0,IF(SUM(X26-R26)&gt;0,B26,0))</f>
        <v>0</v>
      </c>
      <c r="AB26" s="427">
        <f>ABS(Z26)*1000000/SUM(U$11:U26)</f>
        <v>1109.2940949066513</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0.36499999999999999</v>
      </c>
      <c r="F27" s="50">
        <f t="shared" si="16"/>
        <v>0</v>
      </c>
      <c r="G27" s="67">
        <f t="shared" si="17"/>
        <v>0</v>
      </c>
      <c r="H27" s="51">
        <f t="shared" si="1"/>
        <v>0.68363815469042566</v>
      </c>
      <c r="I27" s="50">
        <f t="shared" si="2"/>
        <v>0</v>
      </c>
      <c r="J27" s="67">
        <f t="shared" si="3"/>
        <v>0</v>
      </c>
      <c r="K27" s="51">
        <f t="shared" si="3"/>
        <v>0.68363815469042566</v>
      </c>
      <c r="L27" s="50">
        <f t="shared" si="4"/>
        <v>0</v>
      </c>
      <c r="M27" s="58">
        <f t="shared" si="5"/>
        <v>0</v>
      </c>
      <c r="N27" s="58">
        <f t="shared" si="6"/>
        <v>0</v>
      </c>
      <c r="O27" s="50">
        <f t="shared" si="18"/>
        <v>0</v>
      </c>
      <c r="P27" s="67">
        <f t="shared" si="7"/>
        <v>0</v>
      </c>
      <c r="Q27" s="67">
        <f t="shared" si="19"/>
        <v>0.68363815469042566</v>
      </c>
      <c r="R27" s="59">
        <f t="shared" si="20"/>
        <v>19.141230883451062</v>
      </c>
      <c r="S27" s="494">
        <f>IF(NOT(EXACT(A27, "MP Complete")), INDEX(MP_new!$A$4:$J$9, MATCH(A27, MP_new!$A$4:$A$9, 0), 7) - 5000, IF(NOT(EXACT(A26, "MP Complete")), S26+5000, S26))</f>
        <v>0</v>
      </c>
      <c r="T27" s="493">
        <f>IF(EXACT($Q$5, "Yes"), IF(NOT(EXACT(A27, "MP Complete")), INDEX(MP_new!$A$4:$J$9, MATCH('Step 1'!A27, MP_new!$A$4:$A$9, 0), 10), T25), 0)</f>
        <v>5000</v>
      </c>
      <c r="U27" s="2">
        <f>('NPV Summary'!$B$15-S27)+T27</f>
        <v>5000</v>
      </c>
      <c r="V27" s="2">
        <f>LOOKUP(B27,Rates!$A$5:$B$168)</f>
        <v>1783.5172411465869</v>
      </c>
      <c r="W27" s="58">
        <f t="shared" si="8"/>
        <v>8.9175862057329347</v>
      </c>
      <c r="X27" s="59">
        <f t="shared" si="24"/>
        <v>127.21164747609218</v>
      </c>
      <c r="Y27" s="12">
        <f t="shared" si="25"/>
        <v>8.2339480510425087</v>
      </c>
      <c r="Z27" s="12">
        <f t="shared" si="25"/>
        <v>108.07041659264112</v>
      </c>
      <c r="AA27" s="425">
        <f>IF(SUM(AA$11:AA26)&gt;0,0,IF(SUM(X27-R27)&gt;0,B27,0))</f>
        <v>0</v>
      </c>
      <c r="AB27" s="133">
        <f>ABS(Z27)*1000000/SUM(U$11:U27)</f>
        <v>1137.5833325541171</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0.36499999999999999</v>
      </c>
      <c r="F28" s="52">
        <f t="shared" si="16"/>
        <v>0</v>
      </c>
      <c r="G28" s="53">
        <f t="shared" si="17"/>
        <v>0</v>
      </c>
      <c r="H28" s="54">
        <f t="shared" si="1"/>
        <v>0.71098368087804276</v>
      </c>
      <c r="I28" s="52">
        <f t="shared" si="2"/>
        <v>0</v>
      </c>
      <c r="J28" s="53">
        <f t="shared" si="3"/>
        <v>0</v>
      </c>
      <c r="K28" s="54">
        <f t="shared" si="3"/>
        <v>0.71098368087804276</v>
      </c>
      <c r="L28" s="52">
        <f t="shared" si="4"/>
        <v>0</v>
      </c>
      <c r="M28" s="56">
        <f t="shared" si="5"/>
        <v>0</v>
      </c>
      <c r="N28" s="56">
        <f t="shared" si="6"/>
        <v>0</v>
      </c>
      <c r="O28" s="52">
        <f t="shared" si="18"/>
        <v>0</v>
      </c>
      <c r="P28" s="53">
        <f t="shared" si="7"/>
        <v>0</v>
      </c>
      <c r="Q28" s="53">
        <f t="shared" si="19"/>
        <v>0.71098368087804276</v>
      </c>
      <c r="R28" s="57">
        <f t="shared" si="20"/>
        <v>19.852214564329106</v>
      </c>
      <c r="S28" s="494">
        <f>IF(NOT(EXACT(A28, "MP Complete")), INDEX(MP_new!$A$4:$J$9, MATCH(A28, MP_new!$A$4:$A$9, 0), 7) - 5000, IF(NOT(EXACT(A27, "MP Complete")), S27+5000, S27))</f>
        <v>0</v>
      </c>
      <c r="T28" s="493">
        <f>IF(EXACT($Q$5, "Yes"), IF(NOT(EXACT(A28, "MP Complete")), INDEX(MP_new!$A$4:$J$9, MATCH('Step 1'!A28, MP_new!$A$4:$A$9, 0), 10), T26), 0)</f>
        <v>5000</v>
      </c>
      <c r="U28" s="65">
        <f>('NPV Summary'!$B$15-S28)+T28</f>
        <v>5000</v>
      </c>
      <c r="V28" s="65">
        <f>LOOKUP(B28,Rates!$A$5:$B$168)</f>
        <v>1847.7238618278641</v>
      </c>
      <c r="W28" s="56">
        <f t="shared" si="8"/>
        <v>9.2386193091393203</v>
      </c>
      <c r="X28" s="57">
        <f t="shared" si="24"/>
        <v>136.45026678523149</v>
      </c>
      <c r="Y28" s="426">
        <f t="shared" si="25"/>
        <v>8.5276356282612777</v>
      </c>
      <c r="Z28" s="426">
        <f t="shared" si="25"/>
        <v>116.59805222090239</v>
      </c>
      <c r="AA28" s="425">
        <f>IF(SUM(AA$11:AA27)&gt;0,0,IF(SUM(X28-R28)&gt;0,B28,0))</f>
        <v>0</v>
      </c>
      <c r="AB28" s="427">
        <f>ABS(Z28)*1000000/SUM(U$11:U28)</f>
        <v>1165.9805222090238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0.36499999999999999</v>
      </c>
      <c r="F29" s="50">
        <f t="shared" si="16"/>
        <v>0</v>
      </c>
      <c r="G29" s="67">
        <f t="shared" si="17"/>
        <v>0</v>
      </c>
      <c r="H29" s="51">
        <f t="shared" si="1"/>
        <v>0.73942302811316452</v>
      </c>
      <c r="I29" s="50">
        <f t="shared" si="2"/>
        <v>0</v>
      </c>
      <c r="J29" s="67">
        <f t="shared" si="3"/>
        <v>0</v>
      </c>
      <c r="K29" s="51">
        <f t="shared" si="3"/>
        <v>0.73942302811316452</v>
      </c>
      <c r="L29" s="50">
        <f t="shared" si="4"/>
        <v>0</v>
      </c>
      <c r="M29" s="58">
        <f t="shared" si="5"/>
        <v>0</v>
      </c>
      <c r="N29" s="58">
        <f t="shared" si="6"/>
        <v>0</v>
      </c>
      <c r="O29" s="50">
        <f t="shared" si="18"/>
        <v>0</v>
      </c>
      <c r="P29" s="67">
        <f t="shared" si="7"/>
        <v>0</v>
      </c>
      <c r="Q29" s="67">
        <f t="shared" si="19"/>
        <v>0.73942302811316452</v>
      </c>
      <c r="R29" s="59">
        <f t="shared" si="20"/>
        <v>20.591637592442272</v>
      </c>
      <c r="S29" s="494">
        <f>IF(NOT(EXACT(A29, "MP Complete")), INDEX(MP_new!$A$4:$J$9, MATCH(A29, MP_new!$A$4:$A$9, 0), 7) - 5000, IF(NOT(EXACT(A28, "MP Complete")), S28+5000, S28))</f>
        <v>0</v>
      </c>
      <c r="T29" s="493">
        <f>IF(EXACT($Q$5, "Yes"), IF(NOT(EXACT(A29, "MP Complete")), INDEX(MP_new!$A$4:$J$9, MATCH('Step 1'!A29, MP_new!$A$4:$A$9, 0), 10), T27), 0)</f>
        <v>5000</v>
      </c>
      <c r="U29" s="2">
        <f>('NPV Summary'!$B$15-S29)+T29</f>
        <v>5000</v>
      </c>
      <c r="V29" s="2">
        <f>LOOKUP(B29,Rates!$A$5:$B$168)</f>
        <v>1914.2419208536674</v>
      </c>
      <c r="W29" s="58">
        <f t="shared" si="8"/>
        <v>9.5712096042683363</v>
      </c>
      <c r="X29" s="59">
        <f t="shared" si="24"/>
        <v>146.02147638949984</v>
      </c>
      <c r="Y29" s="12">
        <f t="shared" si="25"/>
        <v>8.8317865761551726</v>
      </c>
      <c r="Z29" s="12">
        <f t="shared" si="25"/>
        <v>125.42983879705757</v>
      </c>
      <c r="AA29" s="425">
        <f>IF(SUM(AA$11:AA28)&gt;0,0,IF(SUM(X29-R29)&gt;0,B29,0))</f>
        <v>0</v>
      </c>
      <c r="AB29" s="133">
        <f>ABS(Z29)*1000000/SUM(U$11:U29)</f>
        <v>1194.5698933053102</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0.36499999999999999</v>
      </c>
      <c r="F30" s="52">
        <f t="shared" si="16"/>
        <v>0</v>
      </c>
      <c r="G30" s="53">
        <f t="shared" si="17"/>
        <v>0</v>
      </c>
      <c r="H30" s="54">
        <f t="shared" si="1"/>
        <v>0.7689999492376911</v>
      </c>
      <c r="I30" s="52">
        <f t="shared" si="2"/>
        <v>0</v>
      </c>
      <c r="J30" s="53">
        <f t="shared" si="3"/>
        <v>0</v>
      </c>
      <c r="K30" s="54">
        <f t="shared" si="3"/>
        <v>0.7689999492376911</v>
      </c>
      <c r="L30" s="52">
        <f t="shared" si="4"/>
        <v>0</v>
      </c>
      <c r="M30" s="56">
        <f t="shared" si="5"/>
        <v>0</v>
      </c>
      <c r="N30" s="56">
        <f t="shared" si="6"/>
        <v>0</v>
      </c>
      <c r="O30" s="52">
        <f t="shared" si="18"/>
        <v>0</v>
      </c>
      <c r="P30" s="53">
        <f t="shared" si="7"/>
        <v>0</v>
      </c>
      <c r="Q30" s="53">
        <f t="shared" si="19"/>
        <v>0.7689999492376911</v>
      </c>
      <c r="R30" s="57">
        <f t="shared" si="20"/>
        <v>21.360637541679964</v>
      </c>
      <c r="S30" s="494">
        <f>IF(NOT(EXACT(A30, "MP Complete")), INDEX(MP_new!$A$4:$J$9, MATCH(A30, MP_new!$A$4:$A$9, 0), 7) - 5000, IF(NOT(EXACT(A29, "MP Complete")), S29+5000, S29))</f>
        <v>0</v>
      </c>
      <c r="T30" s="493">
        <f>IF(EXACT($Q$5, "Yes"), IF(NOT(EXACT(A30, "MP Complete")), INDEX(MP_new!$A$4:$J$9, MATCH('Step 1'!A30, MP_new!$A$4:$A$9, 0), 10), T28), 0)</f>
        <v>5000</v>
      </c>
      <c r="U30" s="65">
        <f>('NPV Summary'!$B$15-S30)+T30</f>
        <v>5000</v>
      </c>
      <c r="V30" s="65">
        <f>LOOKUP(B30,Rates!$A$5:$B$168)</f>
        <v>1983.1546300043995</v>
      </c>
      <c r="W30" s="56">
        <f t="shared" si="8"/>
        <v>9.9157731500219963</v>
      </c>
      <c r="X30" s="57">
        <f t="shared" si="24"/>
        <v>155.93724953952184</v>
      </c>
      <c r="Y30" s="426">
        <f t="shared" si="25"/>
        <v>9.1467732007843061</v>
      </c>
      <c r="Z30" s="426">
        <f t="shared" si="25"/>
        <v>134.57661199784189</v>
      </c>
      <c r="AA30" s="425">
        <f>IF(SUM(AA$11:AA29)&gt;0,0,IF(SUM(X30-R30)&gt;0,B30,0))</f>
        <v>0</v>
      </c>
      <c r="AB30" s="427">
        <f>ABS(Z30)*1000000/SUM(U$11:U30)</f>
        <v>1223.4237454349263</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0.36499999999999999</v>
      </c>
      <c r="F31" s="50">
        <f t="shared" si="16"/>
        <v>0</v>
      </c>
      <c r="G31" s="67">
        <f t="shared" si="17"/>
        <v>0</v>
      </c>
      <c r="H31" s="51">
        <f t="shared" si="1"/>
        <v>0.79975994720719878</v>
      </c>
      <c r="I31" s="50">
        <f t="shared" si="2"/>
        <v>0</v>
      </c>
      <c r="J31" s="67">
        <f t="shared" si="3"/>
        <v>0</v>
      </c>
      <c r="K31" s="51">
        <f t="shared" si="3"/>
        <v>0.79975994720719878</v>
      </c>
      <c r="L31" s="50">
        <f t="shared" si="4"/>
        <v>0</v>
      </c>
      <c r="M31" s="58">
        <f t="shared" si="5"/>
        <v>0</v>
      </c>
      <c r="N31" s="58">
        <f t="shared" si="6"/>
        <v>0</v>
      </c>
      <c r="O31" s="50">
        <f t="shared" si="18"/>
        <v>0</v>
      </c>
      <c r="P31" s="67">
        <f t="shared" si="7"/>
        <v>0</v>
      </c>
      <c r="Q31" s="67">
        <f t="shared" si="19"/>
        <v>0.79975994720719878</v>
      </c>
      <c r="R31" s="59">
        <f t="shared" si="20"/>
        <v>22.160397488887163</v>
      </c>
      <c r="S31" s="494">
        <f>IF(NOT(EXACT(A31, "MP Complete")), INDEX(MP_new!$A$4:$J$9, MATCH(A31, MP_new!$A$4:$A$9, 0), 7) - 5000, IF(NOT(EXACT(A30, "MP Complete")), S30+5000, S30))</f>
        <v>0</v>
      </c>
      <c r="T31" s="493">
        <f>IF(EXACT($Q$5, "Yes"), IF(NOT(EXACT(A31, "MP Complete")), INDEX(MP_new!$A$4:$J$9, MATCH('Step 1'!A31, MP_new!$A$4:$A$9, 0), 10), T29), 0)</f>
        <v>5000</v>
      </c>
      <c r="U31" s="2">
        <f>('NPV Summary'!$B$15-S31)+T31</f>
        <v>5000</v>
      </c>
      <c r="V31" s="2">
        <f>LOOKUP(B31,Rates!$A$5:$B$168)</f>
        <v>2054.5481966845578</v>
      </c>
      <c r="W31" s="58">
        <f t="shared" si="8"/>
        <v>10.272740983422787</v>
      </c>
      <c r="X31" s="59">
        <f t="shared" si="24"/>
        <v>166.20999052294462</v>
      </c>
      <c r="Y31" s="12">
        <f t="shared" si="25"/>
        <v>9.4729810362155895</v>
      </c>
      <c r="Z31" s="12">
        <f t="shared" si="25"/>
        <v>144.04959303405747</v>
      </c>
      <c r="AA31" s="425">
        <f>IF(SUM(AA$11:AA30)&gt;0,0,IF(SUM(X31-R31)&gt;0,B31,0))</f>
        <v>0</v>
      </c>
      <c r="AB31" s="133">
        <f>ABS(Z31)*1000000/SUM(U$11:U31)</f>
        <v>1252.6051568178909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0.36499999999999999</v>
      </c>
      <c r="F32" s="52">
        <f t="shared" si="16"/>
        <v>0</v>
      </c>
      <c r="G32" s="53">
        <f t="shared" si="17"/>
        <v>0</v>
      </c>
      <c r="H32" s="54">
        <f t="shared" si="1"/>
        <v>0.83175034509548684</v>
      </c>
      <c r="I32" s="52">
        <f t="shared" si="2"/>
        <v>0</v>
      </c>
      <c r="J32" s="53">
        <f t="shared" si="3"/>
        <v>0</v>
      </c>
      <c r="K32" s="54">
        <f t="shared" si="3"/>
        <v>0.83175034509548684</v>
      </c>
      <c r="L32" s="52">
        <f t="shared" si="4"/>
        <v>0</v>
      </c>
      <c r="M32" s="56">
        <f t="shared" si="5"/>
        <v>0</v>
      </c>
      <c r="N32" s="56">
        <f t="shared" si="6"/>
        <v>0</v>
      </c>
      <c r="O32" s="52">
        <f t="shared" si="18"/>
        <v>0</v>
      </c>
      <c r="P32" s="53">
        <f t="shared" si="7"/>
        <v>0</v>
      </c>
      <c r="Q32" s="53">
        <f t="shared" si="19"/>
        <v>0.83175034509548684</v>
      </c>
      <c r="R32" s="57">
        <f t="shared" si="20"/>
        <v>22.992147833982649</v>
      </c>
      <c r="S32" s="494">
        <f>IF(NOT(EXACT(A32, "MP Complete")), INDEX(MP_new!$A$4:$J$9, MATCH(A32, MP_new!$A$4:$A$9, 0), 7) - 5000, IF(NOT(EXACT(A31, "MP Complete")), S31+5000, S31))</f>
        <v>0</v>
      </c>
      <c r="T32" s="493">
        <f>IF(EXACT($Q$5, "Yes"), IF(NOT(EXACT(A32, "MP Complete")), INDEX(MP_new!$A$4:$J$9, MATCH('Step 1'!A32, MP_new!$A$4:$A$9, 0), 10), T30), 0)</f>
        <v>5000</v>
      </c>
      <c r="U32" s="65">
        <f>('NPV Summary'!$B$15-S32)+T32</f>
        <v>5000</v>
      </c>
      <c r="V32" s="65">
        <f>LOOKUP(B32,Rates!$A$5:$B$168)</f>
        <v>2128.511931765202</v>
      </c>
      <c r="W32" s="56">
        <f t="shared" si="8"/>
        <v>10.642559658826011</v>
      </c>
      <c r="X32" s="57">
        <f t="shared" si="24"/>
        <v>176.85255018177062</v>
      </c>
      <c r="Y32" s="426">
        <f t="shared" si="25"/>
        <v>9.8108093137305232</v>
      </c>
      <c r="Z32" s="426">
        <f t="shared" si="25"/>
        <v>153.86040234778798</v>
      </c>
      <c r="AA32" s="425">
        <f>IF(SUM(AA$11:AA31)&gt;0,0,IF(SUM(X32-R32)&gt;0,B32,0))</f>
        <v>0</v>
      </c>
      <c r="AB32" s="427">
        <f>ABS(Z32)*1000000/SUM(U$11:U32)</f>
        <v>1282.1700195648998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0.36499999999999999</v>
      </c>
      <c r="F33" s="50">
        <f t="shared" si="16"/>
        <v>0</v>
      </c>
      <c r="G33" s="67">
        <f t="shared" si="17"/>
        <v>0</v>
      </c>
      <c r="H33" s="51">
        <f t="shared" si="1"/>
        <v>0.86502035889930629</v>
      </c>
      <c r="I33" s="50">
        <f t="shared" si="2"/>
        <v>0</v>
      </c>
      <c r="J33" s="67">
        <f t="shared" si="3"/>
        <v>0</v>
      </c>
      <c r="K33" s="51">
        <f t="shared" si="3"/>
        <v>0.86502035889930629</v>
      </c>
      <c r="L33" s="50">
        <f t="shared" si="4"/>
        <v>0</v>
      </c>
      <c r="M33" s="58">
        <f t="shared" si="5"/>
        <v>0</v>
      </c>
      <c r="N33" s="58">
        <f t="shared" si="6"/>
        <v>0</v>
      </c>
      <c r="O33" s="50">
        <f t="shared" si="18"/>
        <v>0</v>
      </c>
      <c r="P33" s="67">
        <f t="shared" si="7"/>
        <v>0</v>
      </c>
      <c r="Q33" s="67">
        <f t="shared" si="19"/>
        <v>0.86502035889930629</v>
      </c>
      <c r="R33" s="59">
        <f t="shared" si="20"/>
        <v>23.857168192881957</v>
      </c>
      <c r="S33" s="494">
        <f>IF(NOT(EXACT(A33, "MP Complete")), INDEX(MP_new!$A$4:$J$9, MATCH(A33, MP_new!$A$4:$A$9, 0), 7) - 5000, IF(NOT(EXACT(A32, "MP Complete")), S32+5000, S32))</f>
        <v>0</v>
      </c>
      <c r="T33" s="493">
        <f>IF(EXACT($Q$5, "Yes"), IF(NOT(EXACT(A33, "MP Complete")), INDEX(MP_new!$A$4:$J$9, MATCH('Step 1'!A33, MP_new!$A$4:$A$9, 0), 10), T31), 0)</f>
        <v>5000</v>
      </c>
      <c r="U33" s="2">
        <f>('NPV Summary'!$B$15-S33)+T33</f>
        <v>5000</v>
      </c>
      <c r="V33" s="2">
        <f>LOOKUP(B33,Rates!$A$5:$B$168)</f>
        <v>2205.1383613087492</v>
      </c>
      <c r="W33" s="58">
        <f t="shared" si="8"/>
        <v>11.025691806543746</v>
      </c>
      <c r="X33" s="59">
        <f t="shared" si="24"/>
        <v>187.87824198831436</v>
      </c>
      <c r="Y33" s="12">
        <f t="shared" si="25"/>
        <v>10.16067144764444</v>
      </c>
      <c r="Z33" s="12">
        <f t="shared" si="25"/>
        <v>164.02107379543241</v>
      </c>
      <c r="AA33" s="425">
        <f>IF(SUM(AA$11:AA32)&gt;0,0,IF(SUM(X33-R33)&gt;0,B33,0))</f>
        <v>0</v>
      </c>
      <c r="AB33" s="133">
        <f>ABS(Z33)*1000000/SUM(U$11:U33)</f>
        <v>1312.1685903634593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0.36499999999999999</v>
      </c>
      <c r="F34" s="52">
        <f t="shared" si="16"/>
        <v>0</v>
      </c>
      <c r="G34" s="53">
        <f t="shared" si="17"/>
        <v>0</v>
      </c>
      <c r="H34" s="54">
        <f t="shared" si="1"/>
        <v>0.89962117325527846</v>
      </c>
      <c r="I34" s="52">
        <f t="shared" si="2"/>
        <v>0</v>
      </c>
      <c r="J34" s="53">
        <f t="shared" si="3"/>
        <v>0</v>
      </c>
      <c r="K34" s="54">
        <f t="shared" si="3"/>
        <v>0.89962117325527846</v>
      </c>
      <c r="L34" s="52">
        <f t="shared" si="4"/>
        <v>0</v>
      </c>
      <c r="M34" s="56">
        <f t="shared" si="5"/>
        <v>0</v>
      </c>
      <c r="N34" s="56">
        <f t="shared" si="6"/>
        <v>0</v>
      </c>
      <c r="O34" s="52">
        <f t="shared" si="18"/>
        <v>0</v>
      </c>
      <c r="P34" s="53">
        <f t="shared" si="7"/>
        <v>0</v>
      </c>
      <c r="Q34" s="53">
        <f t="shared" si="19"/>
        <v>0.89962117325527846</v>
      </c>
      <c r="R34" s="57">
        <f t="shared" si="20"/>
        <v>24.756789366137237</v>
      </c>
      <c r="S34" s="494">
        <f>IF(NOT(EXACT(A34, "MP Complete")), INDEX(MP_new!$A$4:$J$9, MATCH(A34, MP_new!$A$4:$A$9, 0), 7) - 5000, IF(NOT(EXACT(A33, "MP Complete")), S33+5000, S33))</f>
        <v>0</v>
      </c>
      <c r="T34" s="493">
        <f>IF(EXACT($Q$5, "Yes"), IF(NOT(EXACT(A34, "MP Complete")), INDEX(MP_new!$A$4:$J$9, MATCH('Step 1'!A34, MP_new!$A$4:$A$9, 0), 10), T32), 0)</f>
        <v>5000</v>
      </c>
      <c r="U34" s="65">
        <f>('NPV Summary'!$B$15-S34)+T34</f>
        <v>5000</v>
      </c>
      <c r="V34" s="65">
        <f>LOOKUP(B34,Rates!$A$5:$B$168)</f>
        <v>2284.5233423158643</v>
      </c>
      <c r="W34" s="56">
        <f t="shared" si="8"/>
        <v>11.422616711579321</v>
      </c>
      <c r="X34" s="57">
        <f t="shared" si="24"/>
        <v>199.30085869989367</v>
      </c>
      <c r="Y34" s="426">
        <f t="shared" si="25"/>
        <v>10.522995538324043</v>
      </c>
      <c r="Z34" s="426">
        <f t="shared" si="25"/>
        <v>174.54406933375643</v>
      </c>
      <c r="AA34" s="425">
        <f>IF(SUM(AA$11:AA33)&gt;0,0,IF(SUM(X34-R34)&gt;0,B34,0))</f>
        <v>0</v>
      </c>
      <c r="AB34" s="427">
        <f>ABS(Z34)*1000000/SUM(U$11:U34)</f>
        <v>1342.6466871827417</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0.36499999999999999</v>
      </c>
      <c r="F35" s="50">
        <f t="shared" si="16"/>
        <v>0</v>
      </c>
      <c r="G35" s="67">
        <f t="shared" si="17"/>
        <v>0</v>
      </c>
      <c r="H35" s="51">
        <f t="shared" si="1"/>
        <v>0.93560602018548977</v>
      </c>
      <c r="I35" s="50">
        <f t="shared" si="2"/>
        <v>0</v>
      </c>
      <c r="J35" s="67">
        <f t="shared" si="3"/>
        <v>0</v>
      </c>
      <c r="K35" s="51">
        <f t="shared" si="3"/>
        <v>0.93560602018548977</v>
      </c>
      <c r="L35" s="50">
        <f t="shared" si="4"/>
        <v>0</v>
      </c>
      <c r="M35" s="58">
        <f t="shared" si="5"/>
        <v>0</v>
      </c>
      <c r="N35" s="58">
        <f t="shared" si="6"/>
        <v>0</v>
      </c>
      <c r="O35" s="50">
        <f t="shared" si="18"/>
        <v>0</v>
      </c>
      <c r="P35" s="67">
        <f t="shared" si="7"/>
        <v>0</v>
      </c>
      <c r="Q35" s="67">
        <f t="shared" si="19"/>
        <v>0.93560602018548977</v>
      </c>
      <c r="R35" s="59">
        <f t="shared" si="20"/>
        <v>25.692395386322726</v>
      </c>
      <c r="S35" s="494">
        <f>IF(NOT(EXACT(A35, "MP Complete")), INDEX(MP_new!$A$4:$J$9, MATCH(A35, MP_new!$A$4:$A$9, 0), 7) - 5000, IF(NOT(EXACT(A34, "MP Complete")), S34+5000, S34))</f>
        <v>0</v>
      </c>
      <c r="T35" s="493">
        <f>IF(EXACT($Q$5, "Yes"), IF(NOT(EXACT(A35, "MP Complete")), INDEX(MP_new!$A$4:$J$9, MATCH('Step 1'!A35, MP_new!$A$4:$A$9, 0), 10), T33), 0)</f>
        <v>5000</v>
      </c>
      <c r="U35" s="2">
        <f>('NPV Summary'!$B$15-S35)+T35</f>
        <v>5000</v>
      </c>
      <c r="V35" s="2">
        <f>LOOKUP(B35,Rates!$A$5:$B$168)</f>
        <v>2366.7661826392355</v>
      </c>
      <c r="W35" s="58">
        <f t="shared" si="8"/>
        <v>11.833830913196179</v>
      </c>
      <c r="X35" s="59">
        <f t="shared" si="24"/>
        <v>211.13468961308985</v>
      </c>
      <c r="Y35" s="12">
        <f t="shared" si="25"/>
        <v>10.898224893010688</v>
      </c>
      <c r="Z35" s="12">
        <f t="shared" si="25"/>
        <v>185.44229422676713</v>
      </c>
      <c r="AA35" s="425">
        <f>IF(SUM(AA$11:AA34)&gt;0,0,IF(SUM(X35-R35)&gt;0,B35,0))</f>
        <v>0</v>
      </c>
      <c r="AB35" s="133">
        <f>ABS(Z35)*1000000/SUM(U$11:U35)</f>
        <v>1373.6466239019787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0.36499999999999999</v>
      </c>
      <c r="F36" s="52">
        <f t="shared" si="16"/>
        <v>0</v>
      </c>
      <c r="G36" s="53">
        <f t="shared" si="17"/>
        <v>0</v>
      </c>
      <c r="H36" s="54">
        <f t="shared" si="1"/>
        <v>0.97303026099290946</v>
      </c>
      <c r="I36" s="52">
        <f t="shared" si="2"/>
        <v>0</v>
      </c>
      <c r="J36" s="53">
        <f t="shared" si="3"/>
        <v>0</v>
      </c>
      <c r="K36" s="54">
        <f t="shared" si="3"/>
        <v>0.97303026099290946</v>
      </c>
      <c r="L36" s="52">
        <f t="shared" si="4"/>
        <v>0</v>
      </c>
      <c r="M36" s="56">
        <f t="shared" si="5"/>
        <v>0</v>
      </c>
      <c r="N36" s="56">
        <f t="shared" si="6"/>
        <v>0</v>
      </c>
      <c r="O36" s="52">
        <f t="shared" si="18"/>
        <v>0</v>
      </c>
      <c r="P36" s="53">
        <f t="shared" si="7"/>
        <v>0</v>
      </c>
      <c r="Q36" s="53">
        <f t="shared" si="19"/>
        <v>0.97303026099290946</v>
      </c>
      <c r="R36" s="57">
        <f t="shared" si="20"/>
        <v>26.665425647315637</v>
      </c>
      <c r="S36" s="494">
        <f>IF(NOT(EXACT(A36, "MP Complete")), INDEX(MP_new!$A$4:$J$9, MATCH(A36, MP_new!$A$4:$A$9, 0), 7) - 5000, IF(NOT(EXACT(A35, "MP Complete")), S35+5000, S35))</f>
        <v>0</v>
      </c>
      <c r="T36" s="493">
        <f>IF(EXACT($Q$5, "Yes"), IF(NOT(EXACT(A36, "MP Complete")), INDEX(MP_new!$A$4:$J$9, MATCH('Step 1'!A36, MP_new!$A$4:$A$9, 0), 10), T34), 0)</f>
        <v>5000</v>
      </c>
      <c r="U36" s="65">
        <f>('NPV Summary'!$B$15-S36)+T36</f>
        <v>5000</v>
      </c>
      <c r="V36" s="65">
        <f>LOOKUP(B36,Rates!$A$5:$B$168)</f>
        <v>2451.9697652142481</v>
      </c>
      <c r="W36" s="56">
        <f t="shared" si="8"/>
        <v>12.25984882607124</v>
      </c>
      <c r="X36" s="57">
        <f t="shared" si="24"/>
        <v>223.3945384391611</v>
      </c>
      <c r="Y36" s="426">
        <f t="shared" si="25"/>
        <v>11.286818565078331</v>
      </c>
      <c r="Z36" s="426">
        <f t="shared" si="25"/>
        <v>196.72911279184547</v>
      </c>
      <c r="AA36" s="425">
        <f>IF(SUM(AA$11:AA35)&gt;0,0,IF(SUM(X36-R36)&gt;0,B36,0))</f>
        <v>0</v>
      </c>
      <c r="AB36" s="427">
        <f>ABS(Z36)*1000000/SUM(U$11:U36)</f>
        <v>1405.2079485131819</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0.36499999999999999</v>
      </c>
      <c r="F37" s="50">
        <f t="shared" si="16"/>
        <v>0</v>
      </c>
      <c r="G37" s="67">
        <f t="shared" si="17"/>
        <v>0</v>
      </c>
      <c r="H37" s="51">
        <f t="shared" si="1"/>
        <v>1.0119514714326259</v>
      </c>
      <c r="I37" s="50">
        <f t="shared" si="2"/>
        <v>0</v>
      </c>
      <c r="J37" s="67">
        <f t="shared" si="3"/>
        <v>0</v>
      </c>
      <c r="K37" s="51">
        <f t="shared" si="3"/>
        <v>1.0119514714326259</v>
      </c>
      <c r="L37" s="50">
        <f t="shared" si="4"/>
        <v>0</v>
      </c>
      <c r="M37" s="58">
        <f t="shared" si="5"/>
        <v>0</v>
      </c>
      <c r="N37" s="58">
        <f t="shared" si="6"/>
        <v>0</v>
      </c>
      <c r="O37" s="50">
        <f t="shared" si="18"/>
        <v>0</v>
      </c>
      <c r="P37" s="67">
        <f t="shared" si="7"/>
        <v>0</v>
      </c>
      <c r="Q37" s="67">
        <f t="shared" si="19"/>
        <v>1.0119514714326259</v>
      </c>
      <c r="R37" s="59">
        <f t="shared" si="20"/>
        <v>27.677377118748261</v>
      </c>
      <c r="S37" s="494">
        <f>IF(NOT(EXACT(A37, "MP Complete")), INDEX(MP_new!$A$4:$J$9, MATCH(A37, MP_new!$A$4:$A$9, 0), 7) - 5000, IF(NOT(EXACT(A36, "MP Complete")), S36+5000, S36))</f>
        <v>0</v>
      </c>
      <c r="T37" s="493">
        <f>IF(EXACT($Q$5, "Yes"), IF(NOT(EXACT(A37, "MP Complete")), INDEX(MP_new!$A$4:$J$9, MATCH('Step 1'!A37, MP_new!$A$4:$A$9, 0), 10), T35), 0)</f>
        <v>5000</v>
      </c>
      <c r="U37" s="2">
        <f>('NPV Summary'!$B$15-S37)+T37</f>
        <v>5000</v>
      </c>
      <c r="V37" s="2">
        <f>LOOKUP(B37,Rates!$A$5:$B$168)</f>
        <v>2540.2406767619609</v>
      </c>
      <c r="W37" s="58">
        <f t="shared" si="8"/>
        <v>12.701203383809805</v>
      </c>
      <c r="X37" s="59">
        <f t="shared" si="24"/>
        <v>236.09574182297089</v>
      </c>
      <c r="Y37" s="12">
        <f t="shared" si="25"/>
        <v>11.689251912377179</v>
      </c>
      <c r="Z37" s="12">
        <f t="shared" si="25"/>
        <v>208.41836470422263</v>
      </c>
      <c r="AA37" s="425">
        <f>IF(SUM(AA$11:AA36)&gt;0,0,IF(SUM(X37-R37)&gt;0,B37,0))</f>
        <v>0</v>
      </c>
      <c r="AB37" s="133">
        <f>ABS(Z37)*1000000/SUM(U$11:U37)</f>
        <v>1437.3680324429147</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0.36499999999999999</v>
      </c>
      <c r="F38" s="52">
        <f t="shared" si="16"/>
        <v>0</v>
      </c>
      <c r="G38" s="53">
        <f t="shared" si="17"/>
        <v>0</v>
      </c>
      <c r="H38" s="54">
        <f t="shared" si="1"/>
        <v>1.0524295302899309</v>
      </c>
      <c r="I38" s="52">
        <f t="shared" si="2"/>
        <v>0</v>
      </c>
      <c r="J38" s="53">
        <f t="shared" si="3"/>
        <v>0</v>
      </c>
      <c r="K38" s="54">
        <f t="shared" si="3"/>
        <v>1.0524295302899309</v>
      </c>
      <c r="L38" s="52">
        <f t="shared" si="4"/>
        <v>0</v>
      </c>
      <c r="M38" s="56">
        <f t="shared" si="5"/>
        <v>0</v>
      </c>
      <c r="N38" s="56">
        <f t="shared" si="6"/>
        <v>0</v>
      </c>
      <c r="O38" s="52">
        <f t="shared" si="18"/>
        <v>0</v>
      </c>
      <c r="P38" s="53">
        <f t="shared" si="7"/>
        <v>0</v>
      </c>
      <c r="Q38" s="53">
        <f t="shared" si="19"/>
        <v>1.0524295302899309</v>
      </c>
      <c r="R38" s="57">
        <f t="shared" si="20"/>
        <v>28.729806649038192</v>
      </c>
      <c r="S38" s="494">
        <f>IF(NOT(EXACT(A38, "MP Complete")), INDEX(MP_new!$A$4:$J$9, MATCH(A38, MP_new!$A$4:$A$9, 0), 7) - 5000, IF(NOT(EXACT(A37, "MP Complete")), S37+5000, S37))</f>
        <v>0</v>
      </c>
      <c r="T38" s="493">
        <f>IF(EXACT($Q$5, "Yes"), IF(NOT(EXACT(A38, "MP Complete")), INDEX(MP_new!$A$4:$J$9, MATCH('Step 1'!A38, MP_new!$A$4:$A$9, 0), 10), T36), 0)</f>
        <v>5000</v>
      </c>
      <c r="U38" s="65">
        <f>('NPV Summary'!$B$15-S38)+T38</f>
        <v>5000</v>
      </c>
      <c r="V38" s="65">
        <f>LOOKUP(B38,Rates!$A$5:$B$168)</f>
        <v>2631.6893411253914</v>
      </c>
      <c r="W38" s="56">
        <f t="shared" si="8"/>
        <v>13.158446705626957</v>
      </c>
      <c r="X38" s="57">
        <f t="shared" si="24"/>
        <v>249.25418852859787</v>
      </c>
      <c r="Y38" s="426">
        <f t="shared" si="25"/>
        <v>12.106017175337026</v>
      </c>
      <c r="Z38" s="426">
        <f t="shared" si="25"/>
        <v>220.52438187955968</v>
      </c>
      <c r="AA38" s="425">
        <f>IF(SUM(AA$11:AA37)&gt;0,0,IF(SUM(X38-R38)&gt;0,B38,0))</f>
        <v>0</v>
      </c>
      <c r="AB38" s="427">
        <f>ABS(Z38)*1000000/SUM(U$11:U38)</f>
        <v>1470.1625458637313</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0.36499999999999999</v>
      </c>
      <c r="F39" s="50">
        <f t="shared" si="16"/>
        <v>0</v>
      </c>
      <c r="G39" s="67">
        <f t="shared" si="17"/>
        <v>0</v>
      </c>
      <c r="H39" s="51">
        <f t="shared" si="1"/>
        <v>1.0945267115015282</v>
      </c>
      <c r="I39" s="50">
        <f t="shared" si="2"/>
        <v>0</v>
      </c>
      <c r="J39" s="67">
        <f t="shared" si="3"/>
        <v>0</v>
      </c>
      <c r="K39" s="51">
        <f t="shared" si="3"/>
        <v>1.0945267115015282</v>
      </c>
      <c r="L39" s="50">
        <f t="shared" si="4"/>
        <v>0</v>
      </c>
      <c r="M39" s="58">
        <f t="shared" si="5"/>
        <v>0</v>
      </c>
      <c r="N39" s="58">
        <f t="shared" si="6"/>
        <v>0</v>
      </c>
      <c r="O39" s="50">
        <f t="shared" si="18"/>
        <v>0</v>
      </c>
      <c r="P39" s="67">
        <f t="shared" si="7"/>
        <v>0</v>
      </c>
      <c r="Q39" s="67">
        <f t="shared" si="19"/>
        <v>1.0945267115015282</v>
      </c>
      <c r="R39" s="59">
        <f t="shared" si="20"/>
        <v>29.824333360539722</v>
      </c>
      <c r="S39" s="494">
        <f>IF(NOT(EXACT(A39, "MP Complete")), INDEX(MP_new!$A$4:$J$9, MATCH(A39, MP_new!$A$4:$A$9, 0), 7) - 5000, IF(NOT(EXACT(A38, "MP Complete")), S38+5000, S38))</f>
        <v>0</v>
      </c>
      <c r="T39" s="493">
        <f>IF(EXACT($Q$5, "Yes"), IF(NOT(EXACT(A39, "MP Complete")), INDEX(MP_new!$A$4:$J$9, MATCH('Step 1'!A39, MP_new!$A$4:$A$9, 0), 10), T37), 0)</f>
        <v>5000</v>
      </c>
      <c r="U39" s="2">
        <f>('NPV Summary'!$B$15-S39)+T39</f>
        <v>5000</v>
      </c>
      <c r="V39" s="2">
        <f>LOOKUP(B39,Rates!$A$5:$B$168)</f>
        <v>2726.4301574059054</v>
      </c>
      <c r="W39" s="58">
        <f t="shared" si="8"/>
        <v>13.632150787029527</v>
      </c>
      <c r="X39" s="59">
        <f t="shared" si="24"/>
        <v>262.88633931562737</v>
      </c>
      <c r="Y39" s="12">
        <f t="shared" si="25"/>
        <v>12.537624075527999</v>
      </c>
      <c r="Z39" s="12">
        <f t="shared" si="25"/>
        <v>233.06200595508764</v>
      </c>
      <c r="AA39" s="425">
        <f>IF(SUM(AA$11:AA38)&gt;0,0,IF(SUM(X39-R39)&gt;0,B39,0))</f>
        <v>0</v>
      </c>
      <c r="AB39" s="133">
        <f>ABS(Z39)*1000000/SUM(U$11:U39)</f>
        <v>1503.6258448715332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0.36499999999999999</v>
      </c>
      <c r="F40" s="52">
        <f t="shared" si="16"/>
        <v>0</v>
      </c>
      <c r="G40" s="53">
        <f t="shared" si="17"/>
        <v>0</v>
      </c>
      <c r="H40" s="54">
        <f t="shared" si="1"/>
        <v>1.1383077799615895</v>
      </c>
      <c r="I40" s="52">
        <f t="shared" si="2"/>
        <v>0</v>
      </c>
      <c r="J40" s="53">
        <f t="shared" si="3"/>
        <v>0</v>
      </c>
      <c r="K40" s="54">
        <f t="shared" si="3"/>
        <v>1.1383077799615895</v>
      </c>
      <c r="L40" s="52">
        <f t="shared" si="4"/>
        <v>0</v>
      </c>
      <c r="M40" s="56">
        <f t="shared" si="5"/>
        <v>0</v>
      </c>
      <c r="N40" s="56">
        <f t="shared" si="6"/>
        <v>0</v>
      </c>
      <c r="O40" s="52">
        <f t="shared" si="18"/>
        <v>0</v>
      </c>
      <c r="P40" s="53">
        <f t="shared" si="7"/>
        <v>0</v>
      </c>
      <c r="Q40" s="53">
        <f t="shared" si="19"/>
        <v>1.1383077799615895</v>
      </c>
      <c r="R40" s="57">
        <f t="shared" si="20"/>
        <v>30.962641140501312</v>
      </c>
      <c r="S40" s="494">
        <f>IF(NOT(EXACT(A40, "MP Complete")), INDEX(MP_new!$A$4:$J$9, MATCH(A40, MP_new!$A$4:$A$9, 0), 7) - 5000, IF(NOT(EXACT(A39, "MP Complete")), S39+5000, S39))</f>
        <v>0</v>
      </c>
      <c r="T40" s="493">
        <f>IF(EXACT($Q$5, "Yes"), IF(NOT(EXACT(A40, "MP Complete")), INDEX(MP_new!$A$4:$J$9, MATCH('Step 1'!A40, MP_new!$A$4:$A$9, 0), 10), T38), 0)</f>
        <v>5000</v>
      </c>
      <c r="U40" s="65">
        <f>('NPV Summary'!$B$15-S40)+T40</f>
        <v>5000</v>
      </c>
      <c r="V40" s="65">
        <f>LOOKUP(B40,Rates!$A$5:$B$168)</f>
        <v>2824.5816430725181</v>
      </c>
      <c r="W40" s="56">
        <f t="shared" si="8"/>
        <v>14.122908215362591</v>
      </c>
      <c r="X40" s="57">
        <f t="shared" si="24"/>
        <v>277.00924753098997</v>
      </c>
      <c r="Y40" s="426">
        <f t="shared" si="25"/>
        <v>12.984600435401001</v>
      </c>
      <c r="Z40" s="426">
        <f t="shared" si="25"/>
        <v>246.04660639048865</v>
      </c>
      <c r="AA40" s="425">
        <f>IF(SUM(AA$11:AA39)&gt;0,0,IF(SUM(X40-R40)&gt;0,B40,0))</f>
        <v>0</v>
      </c>
      <c r="AB40" s="427">
        <f>ABS(Z40)*1000000/SUM(U$11:U40)</f>
        <v>1537.7912899405542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0.36499999999999999</v>
      </c>
      <c r="F41" s="50">
        <f t="shared" si="16"/>
        <v>0</v>
      </c>
      <c r="G41" s="67">
        <f t="shared" si="17"/>
        <v>0</v>
      </c>
      <c r="H41" s="51">
        <f t="shared" si="1"/>
        <v>1.1838400911600528</v>
      </c>
      <c r="I41" s="50">
        <f t="shared" si="2"/>
        <v>0</v>
      </c>
      <c r="J41" s="67">
        <f t="shared" si="3"/>
        <v>0</v>
      </c>
      <c r="K41" s="51">
        <f t="shared" si="3"/>
        <v>1.1838400911600528</v>
      </c>
      <c r="L41" s="50">
        <f t="shared" si="4"/>
        <v>0</v>
      </c>
      <c r="M41" s="58">
        <f t="shared" si="5"/>
        <v>0</v>
      </c>
      <c r="N41" s="58">
        <f t="shared" si="6"/>
        <v>0</v>
      </c>
      <c r="O41" s="50">
        <f t="shared" si="18"/>
        <v>0</v>
      </c>
      <c r="P41" s="67">
        <f t="shared" si="7"/>
        <v>0</v>
      </c>
      <c r="Q41" s="67">
        <f t="shared" si="19"/>
        <v>1.1838400911600528</v>
      </c>
      <c r="R41" s="59">
        <f t="shared" si="20"/>
        <v>32.146481231661362</v>
      </c>
      <c r="S41" s="494">
        <f>IF(NOT(EXACT(A41, "MP Complete")), INDEX(MP_new!$A$4:$J$9, MATCH(A41, MP_new!$A$4:$A$9, 0), 7) - 5000, IF(NOT(EXACT(A40, "MP Complete")), S40+5000, S40))</f>
        <v>0</v>
      </c>
      <c r="T41" s="493">
        <f>IF(EXACT($Q$5, "Yes"), IF(NOT(EXACT(A41, "MP Complete")), INDEX(MP_new!$A$4:$J$9, MATCH('Step 1'!A41, MP_new!$A$4:$A$9, 0), 10), T39), 0)</f>
        <v>5000</v>
      </c>
      <c r="U41" s="2">
        <f>('NPV Summary'!$B$15-S41)+T41</f>
        <v>5000</v>
      </c>
      <c r="V41" s="2">
        <f>LOOKUP(B41,Rates!$A$5:$B$168)</f>
        <v>2926.2665822231288</v>
      </c>
      <c r="W41" s="58">
        <f t="shared" si="8"/>
        <v>14.631332911115644</v>
      </c>
      <c r="X41" s="59">
        <f t="shared" si="24"/>
        <v>291.6405804421056</v>
      </c>
      <c r="Y41" s="12">
        <f t="shared" si="25"/>
        <v>13.447492819955592</v>
      </c>
      <c r="Z41" s="12">
        <f t="shared" si="25"/>
        <v>259.49409921044423</v>
      </c>
      <c r="AA41" s="425">
        <f>IF(SUM(AA$11:AA40)&gt;0,0,IF(SUM(X41-R41)&gt;0,B41,0))</f>
        <v>0</v>
      </c>
      <c r="AB41" s="133">
        <f>ABS(Z41)*1000000/SUM(U$11:U41)</f>
        <v>1572.6915103663287</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0.36499999999999999</v>
      </c>
      <c r="F42" s="52">
        <f t="shared" si="16"/>
        <v>0</v>
      </c>
      <c r="G42" s="53">
        <f t="shared" si="17"/>
        <v>0</v>
      </c>
      <c r="H42" s="54">
        <f t="shared" si="1"/>
        <v>1.231193694806455</v>
      </c>
      <c r="I42" s="52">
        <f t="shared" si="2"/>
        <v>0</v>
      </c>
      <c r="J42" s="53">
        <f t="shared" si="3"/>
        <v>0</v>
      </c>
      <c r="K42" s="54">
        <f t="shared" si="3"/>
        <v>1.231193694806455</v>
      </c>
      <c r="L42" s="52">
        <f t="shared" si="4"/>
        <v>0</v>
      </c>
      <c r="M42" s="56">
        <f t="shared" si="5"/>
        <v>0</v>
      </c>
      <c r="N42" s="56">
        <f t="shared" si="6"/>
        <v>0</v>
      </c>
      <c r="O42" s="52">
        <f t="shared" si="18"/>
        <v>0</v>
      </c>
      <c r="P42" s="53">
        <f t="shared" si="7"/>
        <v>0</v>
      </c>
      <c r="Q42" s="53">
        <f t="shared" si="19"/>
        <v>1.231193694806455</v>
      </c>
      <c r="R42" s="57">
        <f t="shared" si="20"/>
        <v>33.377674926467819</v>
      </c>
      <c r="S42" s="494">
        <f>IF(NOT(EXACT(A42, "MP Complete")), INDEX(MP_new!$A$4:$J$9, MATCH(A42, MP_new!$A$4:$A$9, 0), 7) - 5000, IF(NOT(EXACT(A41, "MP Complete")), S41+5000, S41))</f>
        <v>0</v>
      </c>
      <c r="T42" s="493">
        <f>IF(EXACT($Q$5, "Yes"), IF(NOT(EXACT(A42, "MP Complete")), INDEX(MP_new!$A$4:$J$9, MATCH('Step 1'!A42, MP_new!$A$4:$A$9, 0), 10), T40), 0)</f>
        <v>5000</v>
      </c>
      <c r="U42" s="65">
        <f>('NPV Summary'!$B$15-S42)+T42</f>
        <v>5000</v>
      </c>
      <c r="V42" s="65">
        <f>LOOKUP(B42,Rates!$A$5:$B$168)</f>
        <v>3031.6121791831615</v>
      </c>
      <c r="W42" s="56">
        <f t="shared" si="8"/>
        <v>15.158060895915808</v>
      </c>
      <c r="X42" s="57">
        <f t="shared" si="24"/>
        <v>306.79864133802141</v>
      </c>
      <c r="Y42" s="426">
        <f t="shared" si="25"/>
        <v>13.926867201109353</v>
      </c>
      <c r="Z42" s="426">
        <f t="shared" si="25"/>
        <v>273.42096641155359</v>
      </c>
      <c r="AA42" s="425">
        <f>IF(SUM(AA$11:AA41)&gt;0,0,IF(SUM(X42-R42)&gt;0,B42,0))</f>
        <v>0</v>
      </c>
      <c r="AB42" s="427">
        <f>ABS(Z42)*1000000/SUM(U$11:U42)</f>
        <v>1608.3586259503154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0.36499999999999999</v>
      </c>
      <c r="F43" s="50">
        <f t="shared" si="16"/>
        <v>0</v>
      </c>
      <c r="G43" s="67">
        <f t="shared" si="17"/>
        <v>0</v>
      </c>
      <c r="H43" s="51">
        <f t="shared" si="1"/>
        <v>1.2804414425987134</v>
      </c>
      <c r="I43" s="50">
        <f t="shared" si="2"/>
        <v>0</v>
      </c>
      <c r="J43" s="67">
        <f t="shared" si="3"/>
        <v>0</v>
      </c>
      <c r="K43" s="51">
        <f t="shared" si="3"/>
        <v>1.2804414425987134</v>
      </c>
      <c r="L43" s="50">
        <f t="shared" si="4"/>
        <v>0</v>
      </c>
      <c r="M43" s="58">
        <f t="shared" si="5"/>
        <v>0</v>
      </c>
      <c r="N43" s="58">
        <f t="shared" si="6"/>
        <v>0</v>
      </c>
      <c r="O43" s="50">
        <f t="shared" si="18"/>
        <v>0</v>
      </c>
      <c r="P43" s="67">
        <f t="shared" si="7"/>
        <v>0</v>
      </c>
      <c r="Q43" s="67">
        <f t="shared" si="19"/>
        <v>1.2804414425987134</v>
      </c>
      <c r="R43" s="59">
        <f t="shared" si="20"/>
        <v>34.658116369066533</v>
      </c>
      <c r="S43" s="494">
        <f>IF(NOT(EXACT(A43, "MP Complete")), INDEX(MP_new!$A$4:$J$9, MATCH(A43, MP_new!$A$4:$A$9, 0), 7) - 5000, IF(NOT(EXACT(A42, "MP Complete")), S42+5000, S42))</f>
        <v>0</v>
      </c>
      <c r="T43" s="493">
        <f>IF(EXACT($Q$5, "Yes"), IF(NOT(EXACT(A43, "MP Complete")), INDEX(MP_new!$A$4:$J$9, MATCH('Step 1'!A43, MP_new!$A$4:$A$9, 0), 10), T41), 0)</f>
        <v>5000</v>
      </c>
      <c r="U43" s="2">
        <f>('NPV Summary'!$B$15-S43)+T43</f>
        <v>5000</v>
      </c>
      <c r="V43" s="2">
        <f>LOOKUP(B43,Rates!$A$5:$B$168)</f>
        <v>3140.7502176337553</v>
      </c>
      <c r="W43" s="58">
        <f t="shared" si="8"/>
        <v>15.703751088168776</v>
      </c>
      <c r="X43" s="59">
        <f t="shared" si="24"/>
        <v>322.50239242619017</v>
      </c>
      <c r="Y43" s="12">
        <f t="shared" si="25"/>
        <v>14.423309645570063</v>
      </c>
      <c r="Z43" s="12">
        <f t="shared" si="25"/>
        <v>287.84427605712364</v>
      </c>
      <c r="AA43" s="425">
        <f>IF(SUM(AA$11:AA42)&gt;0,0,IF(SUM(X43-R43)&gt;0,B43,0))</f>
        <v>0</v>
      </c>
      <c r="AB43" s="133">
        <f>ABS(Z43)*1000000/SUM(U$11:U43)</f>
        <v>1644.8244346121353</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0.36499999999999999</v>
      </c>
      <c r="F44" s="52">
        <f t="shared" si="16"/>
        <v>0</v>
      </c>
      <c r="G44" s="53">
        <f t="shared" si="17"/>
        <v>0</v>
      </c>
      <c r="H44" s="54">
        <f t="shared" si="1"/>
        <v>1.3316591003026619</v>
      </c>
      <c r="I44" s="52">
        <f t="shared" si="2"/>
        <v>0</v>
      </c>
      <c r="J44" s="53">
        <f t="shared" si="3"/>
        <v>0</v>
      </c>
      <c r="K44" s="54">
        <f t="shared" si="3"/>
        <v>1.3316591003026619</v>
      </c>
      <c r="L44" s="52">
        <f t="shared" si="4"/>
        <v>0</v>
      </c>
      <c r="M44" s="56">
        <f t="shared" si="5"/>
        <v>0</v>
      </c>
      <c r="N44" s="56">
        <f t="shared" si="6"/>
        <v>0</v>
      </c>
      <c r="O44" s="52">
        <f t="shared" si="18"/>
        <v>0</v>
      </c>
      <c r="P44" s="53">
        <f t="shared" si="7"/>
        <v>0</v>
      </c>
      <c r="Q44" s="53">
        <f t="shared" si="19"/>
        <v>1.3316591003026619</v>
      </c>
      <c r="R44" s="57">
        <f t="shared" si="20"/>
        <v>35.989775469369192</v>
      </c>
      <c r="S44" s="494">
        <f>IF(NOT(EXACT(A44, "MP Complete")), INDEX(MP_new!$A$4:$J$9, MATCH(A44, MP_new!$A$4:$A$9, 0), 7) - 5000, IF(NOT(EXACT(A43, "MP Complete")), S43+5000, S43))</f>
        <v>0</v>
      </c>
      <c r="T44" s="493">
        <f>IF(EXACT($Q$5, "Yes"), IF(NOT(EXACT(A44, "MP Complete")), INDEX(MP_new!$A$4:$J$9, MATCH('Step 1'!A44, MP_new!$A$4:$A$9, 0), 10), T42), 0)</f>
        <v>5000</v>
      </c>
      <c r="U44" s="65">
        <f>('NPV Summary'!$B$15-S44)+T44</f>
        <v>5000</v>
      </c>
      <c r="V44" s="65">
        <f>LOOKUP(B44,Rates!$A$5:$B$168)</f>
        <v>3253.8172254685705</v>
      </c>
      <c r="W44" s="56">
        <f t="shared" si="8"/>
        <v>16.269086127342852</v>
      </c>
      <c r="X44" s="57">
        <f t="shared" si="24"/>
        <v>338.77147855353303</v>
      </c>
      <c r="Y44" s="426">
        <f t="shared" si="25"/>
        <v>14.93742702704019</v>
      </c>
      <c r="Z44" s="426">
        <f t="shared" si="25"/>
        <v>302.78170308416384</v>
      </c>
      <c r="AA44" s="425">
        <f>IF(SUM(AA$11:AA43)&gt;0,0,IF(SUM(X44-R44)&gt;0,B44,0))</f>
        <v>0</v>
      </c>
      <c r="AB44" s="427">
        <f>ABS(Z44)*1000000/SUM(U$11:U44)</f>
        <v>1682.1205726897992</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0.36499999999999999</v>
      </c>
      <c r="F45" s="50">
        <f t="shared" si="16"/>
        <v>0</v>
      </c>
      <c r="G45" s="67">
        <f t="shared" si="17"/>
        <v>0</v>
      </c>
      <c r="H45" s="51">
        <f t="shared" si="1"/>
        <v>1.3849254643147686</v>
      </c>
      <c r="I45" s="50">
        <f t="shared" si="2"/>
        <v>0</v>
      </c>
      <c r="J45" s="67">
        <f t="shared" si="3"/>
        <v>0</v>
      </c>
      <c r="K45" s="51">
        <f t="shared" si="3"/>
        <v>1.3849254643147686</v>
      </c>
      <c r="L45" s="50">
        <f t="shared" si="4"/>
        <v>0</v>
      </c>
      <c r="M45" s="58">
        <f t="shared" si="5"/>
        <v>0</v>
      </c>
      <c r="N45" s="58">
        <f t="shared" si="6"/>
        <v>0</v>
      </c>
      <c r="O45" s="50">
        <f t="shared" si="18"/>
        <v>0</v>
      </c>
      <c r="P45" s="67">
        <f t="shared" si="7"/>
        <v>0</v>
      </c>
      <c r="Q45" s="67">
        <f t="shared" si="19"/>
        <v>1.3849254643147686</v>
      </c>
      <c r="R45" s="59">
        <f t="shared" si="20"/>
        <v>37.374700933683961</v>
      </c>
      <c r="S45" s="494">
        <f>IF(NOT(EXACT(A45, "MP Complete")), INDEX(MP_new!$A$4:$J$9, MATCH(A45, MP_new!$A$4:$A$9, 0), 7) - 5000, IF(NOT(EXACT(A44, "MP Complete")), S44+5000, S44))</f>
        <v>0</v>
      </c>
      <c r="T45" s="493">
        <f>IF(EXACT($Q$5, "Yes"), IF(NOT(EXACT(A45, "MP Complete")), INDEX(MP_new!$A$4:$J$9, MATCH('Step 1'!A45, MP_new!$A$4:$A$9, 0), 10), T43), 0)</f>
        <v>5000</v>
      </c>
      <c r="U45" s="2">
        <f>('NPV Summary'!$B$15-S45)+T45</f>
        <v>5000</v>
      </c>
      <c r="V45" s="2">
        <f>LOOKUP(B45,Rates!$A$5:$B$168)</f>
        <v>3370.9546455854393</v>
      </c>
      <c r="W45" s="58">
        <f t="shared" si="8"/>
        <v>16.854773227927197</v>
      </c>
      <c r="X45" s="59">
        <f t="shared" si="24"/>
        <v>355.62625178146021</v>
      </c>
      <c r="Y45" s="12">
        <f t="shared" si="25"/>
        <v>15.469847763612428</v>
      </c>
      <c r="Z45" s="12">
        <f t="shared" si="25"/>
        <v>318.25155084777623</v>
      </c>
      <c r="AA45" s="425">
        <f>IF(SUM(AA$11:AA44)&gt;0,0,IF(SUM(X45-R45)&gt;0,B45,0))</f>
        <v>0</v>
      </c>
      <c r="AB45" s="133">
        <f>ABS(Z45)*1000000/SUM(U$11:U45)</f>
        <v>1720.278653231223</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0.36499999999999999</v>
      </c>
      <c r="F46" s="52">
        <f t="shared" si="16"/>
        <v>0</v>
      </c>
      <c r="G46" s="53">
        <f t="shared" si="17"/>
        <v>0</v>
      </c>
      <c r="H46" s="54">
        <f t="shared" si="1"/>
        <v>1.4403224828873593</v>
      </c>
      <c r="I46" s="52">
        <f t="shared" si="2"/>
        <v>0</v>
      </c>
      <c r="J46" s="53">
        <f t="shared" si="3"/>
        <v>0</v>
      </c>
      <c r="K46" s="54">
        <f t="shared" si="3"/>
        <v>1.4403224828873593</v>
      </c>
      <c r="L46" s="52">
        <f t="shared" si="4"/>
        <v>0</v>
      </c>
      <c r="M46" s="56">
        <f t="shared" si="5"/>
        <v>0</v>
      </c>
      <c r="N46" s="56">
        <f t="shared" si="6"/>
        <v>0</v>
      </c>
      <c r="O46" s="52">
        <f t="shared" si="18"/>
        <v>0</v>
      </c>
      <c r="P46" s="53">
        <f t="shared" si="7"/>
        <v>0</v>
      </c>
      <c r="Q46" s="53">
        <f t="shared" si="19"/>
        <v>1.4403224828873593</v>
      </c>
      <c r="R46" s="57">
        <f t="shared" si="20"/>
        <v>38.815023416571321</v>
      </c>
      <c r="S46" s="494">
        <f>IF(NOT(EXACT(A46, "MP Complete")), INDEX(MP_new!$A$4:$J$9, MATCH(A46, MP_new!$A$4:$A$9, 0), 7) - 5000, IF(NOT(EXACT(A45, "MP Complete")), S45+5000, S45))</f>
        <v>0</v>
      </c>
      <c r="T46" s="493">
        <f>IF(EXACT($Q$5, "Yes"), IF(NOT(EXACT(A46, "MP Complete")), INDEX(MP_new!$A$4:$J$9, MATCH('Step 1'!A46, MP_new!$A$4:$A$9, 0), 10), T44), 0)</f>
        <v>5000</v>
      </c>
      <c r="U46" s="65">
        <f>('NPV Summary'!$B$15-S46)+T46</f>
        <v>5000</v>
      </c>
      <c r="V46" s="65">
        <f>LOOKUP(B46,Rates!$A$5:$B$168)</f>
        <v>3492.3090128265153</v>
      </c>
      <c r="W46" s="56">
        <f t="shared" si="8"/>
        <v>17.461545064132576</v>
      </c>
      <c r="X46" s="57">
        <f t="shared" si="24"/>
        <v>373.08779684559278</v>
      </c>
      <c r="Y46" s="426">
        <f t="shared" si="25"/>
        <v>16.021222581245215</v>
      </c>
      <c r="Z46" s="426">
        <f t="shared" si="25"/>
        <v>334.27277342902147</v>
      </c>
      <c r="AA46" s="425">
        <f>IF(SUM(AA$11:AA45)&gt;0,0,IF(SUM(X46-R46)&gt;0,B46,0))</f>
        <v>0</v>
      </c>
      <c r="AB46" s="427">
        <f>ABS(Z46)*1000000/SUM(U$11:U46)</f>
        <v>1759.330386468534</v>
      </c>
      <c r="AC46">
        <f>R46*1000000/SUM(U$11:U46)</f>
        <v>204.28959692932273</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0.36499999999999999</v>
      </c>
      <c r="F47" s="50">
        <f t="shared" si="16"/>
        <v>0</v>
      </c>
      <c r="G47" s="67">
        <f t="shared" si="17"/>
        <v>0</v>
      </c>
      <c r="H47" s="51">
        <f t="shared" si="1"/>
        <v>1.4979353822028536</v>
      </c>
      <c r="I47" s="50">
        <f t="shared" si="2"/>
        <v>0</v>
      </c>
      <c r="J47" s="67">
        <f t="shared" si="3"/>
        <v>0</v>
      </c>
      <c r="K47" s="51">
        <f t="shared" si="3"/>
        <v>1.4979353822028536</v>
      </c>
      <c r="L47" s="50">
        <f t="shared" si="4"/>
        <v>0</v>
      </c>
      <c r="M47" s="58">
        <f t="shared" si="5"/>
        <v>0</v>
      </c>
      <c r="N47" s="58">
        <f t="shared" si="6"/>
        <v>0</v>
      </c>
      <c r="O47" s="50">
        <f t="shared" si="18"/>
        <v>0</v>
      </c>
      <c r="P47" s="67">
        <f t="shared" si="7"/>
        <v>0</v>
      </c>
      <c r="Q47" s="67">
        <f t="shared" si="19"/>
        <v>1.4979353822028536</v>
      </c>
      <c r="R47" s="59">
        <f t="shared" si="20"/>
        <v>40.312958798774176</v>
      </c>
      <c r="S47" s="494">
        <f>IF(NOT(EXACT(A47, "MP Complete")), INDEX(MP_new!$A$4:$J$9, MATCH(A47, MP_new!$A$4:$A$9, 0), 7) - 5000, IF(NOT(EXACT(A46, "MP Complete")), S46+5000, S46))</f>
        <v>0</v>
      </c>
      <c r="T47" s="493">
        <f>IF(EXACT($Q$5, "Yes"), IF(NOT(EXACT(A47, "MP Complete")), INDEX(MP_new!$A$4:$J$9, MATCH('Step 1'!A47, MP_new!$A$4:$A$9, 0), 10), T45), 0)</f>
        <v>5000</v>
      </c>
      <c r="U47" s="2">
        <f>('NPV Summary'!$B$15-S47)+T47</f>
        <v>5000</v>
      </c>
      <c r="V47" s="2">
        <f>LOOKUP(B47,Rates!$A$5:$B$168)</f>
        <v>3618.03213728827</v>
      </c>
      <c r="W47" s="58">
        <f t="shared" si="8"/>
        <v>18.090160686441351</v>
      </c>
      <c r="X47" s="59">
        <f t="shared" si="24"/>
        <v>391.17795753203416</v>
      </c>
      <c r="Y47" s="12">
        <f t="shared" si="25"/>
        <v>16.592225304238497</v>
      </c>
      <c r="Z47" s="12">
        <f t="shared" si="25"/>
        <v>350.86499873325999</v>
      </c>
      <c r="AA47" s="425">
        <f>IF(SUM(AA$11:AA46)&gt;0,0,IF(SUM(X47-R47)&gt;0,B47,0))</f>
        <v>0</v>
      </c>
      <c r="AB47" s="133">
        <f>ABS(Z47)*1000000/SUM(U$11:U47)</f>
        <v>1799.3076858115896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0.36499999999999999</v>
      </c>
      <c r="F48" s="52">
        <f t="shared" si="16"/>
        <v>0</v>
      </c>
      <c r="G48" s="53">
        <f t="shared" si="17"/>
        <v>0</v>
      </c>
      <c r="H48" s="54">
        <f t="shared" si="1"/>
        <v>1.5578527974909682</v>
      </c>
      <c r="I48" s="52">
        <f t="shared" si="2"/>
        <v>0</v>
      </c>
      <c r="J48" s="53">
        <f t="shared" si="3"/>
        <v>0</v>
      </c>
      <c r="K48" s="54">
        <f t="shared" si="3"/>
        <v>1.5578527974909682</v>
      </c>
      <c r="L48" s="52">
        <f t="shared" si="4"/>
        <v>0</v>
      </c>
      <c r="M48" s="56">
        <f t="shared" si="5"/>
        <v>0</v>
      </c>
      <c r="N48" s="56">
        <f t="shared" si="6"/>
        <v>0</v>
      </c>
      <c r="O48" s="52">
        <f t="shared" si="18"/>
        <v>0</v>
      </c>
      <c r="P48" s="53">
        <f t="shared" si="7"/>
        <v>0</v>
      </c>
      <c r="Q48" s="53">
        <f t="shared" si="19"/>
        <v>1.5578527974909682</v>
      </c>
      <c r="R48" s="57">
        <f t="shared" si="20"/>
        <v>41.870811596265142</v>
      </c>
      <c r="S48" s="494">
        <f>IF(NOT(EXACT(A48, "MP Complete")), INDEX(MP_new!$A$4:$J$9, MATCH(A48, MP_new!$A$4:$A$9, 0), 7) - 5000, IF(NOT(EXACT(A47, "MP Complete")), S47+5000, S47))</f>
        <v>0</v>
      </c>
      <c r="T48" s="493">
        <f>IF(EXACT($Q$5, "Yes"), IF(NOT(EXACT(A48, "MP Complete")), INDEX(MP_new!$A$4:$J$9, MATCH('Step 1'!A48, MP_new!$A$4:$A$9, 0), 10), T46), 0)</f>
        <v>5000</v>
      </c>
      <c r="U48" s="65">
        <f>('NPV Summary'!$B$15-S48)+T48</f>
        <v>5000</v>
      </c>
      <c r="V48" s="65">
        <f>LOOKUP(B48,Rates!$A$5:$B$168)</f>
        <v>3748.2812942306477</v>
      </c>
      <c r="W48" s="56">
        <f t="shared" si="8"/>
        <v>18.741406471153237</v>
      </c>
      <c r="X48" s="57">
        <f t="shared" si="24"/>
        <v>409.91936400318741</v>
      </c>
      <c r="Y48" s="426">
        <f t="shared" si="25"/>
        <v>17.183553673662267</v>
      </c>
      <c r="Z48" s="426">
        <f t="shared" si="25"/>
        <v>368.04855240692228</v>
      </c>
      <c r="AA48" s="425">
        <f>IF(SUM(AA$11:AA47)&gt;0,0,IF(SUM(X48-R48)&gt;0,B48,0))</f>
        <v>0</v>
      </c>
      <c r="AB48" s="427">
        <f>ABS(Z48)*1000000/SUM(U$11:U48)</f>
        <v>1840.2427620346114</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0.36499999999999999</v>
      </c>
      <c r="F49" s="50">
        <f t="shared" si="16"/>
        <v>0</v>
      </c>
      <c r="G49" s="67">
        <f t="shared" si="17"/>
        <v>0</v>
      </c>
      <c r="H49" s="51">
        <f t="shared" si="1"/>
        <v>1.6201669093906066</v>
      </c>
      <c r="I49" s="50">
        <f t="shared" si="2"/>
        <v>0</v>
      </c>
      <c r="J49" s="67">
        <f t="shared" si="3"/>
        <v>0</v>
      </c>
      <c r="K49" s="51">
        <f t="shared" si="3"/>
        <v>1.6201669093906066</v>
      </c>
      <c r="L49" s="50">
        <f t="shared" si="4"/>
        <v>0</v>
      </c>
      <c r="M49" s="58">
        <f t="shared" si="5"/>
        <v>0</v>
      </c>
      <c r="N49" s="58">
        <f t="shared" si="6"/>
        <v>0</v>
      </c>
      <c r="O49" s="50">
        <f>IF($L$5="Yes", IF( U49&gt;U48, (U49-U48)*$M$5/1000000,0),0)</f>
        <v>0</v>
      </c>
      <c r="P49" s="67">
        <f t="shared" si="7"/>
        <v>0</v>
      </c>
      <c r="Q49" s="67">
        <f t="shared" si="19"/>
        <v>1.6201669093906066</v>
      </c>
      <c r="R49" s="59">
        <f>R48+Q49</f>
        <v>43.490978505655747</v>
      </c>
      <c r="S49" s="494">
        <f>IF(NOT(EXACT(A49, "MP Complete")), INDEX(MP_new!$A$4:$J$9, MATCH(A49, MP_new!$A$4:$A$9, 0), 7) - 5000, IF(NOT(EXACT(A48, "MP Complete")), S48+5000, S48))</f>
        <v>0</v>
      </c>
      <c r="T49" s="493">
        <f>IF(EXACT($Q$5, "Yes"), IF(NOT(EXACT(A49, "MP Complete")), INDEX(MP_new!$A$4:$J$9, MATCH('Step 1'!A49, MP_new!$A$4:$A$9, 0), 10), T47), 0)</f>
        <v>5000</v>
      </c>
      <c r="U49" s="2">
        <f>('NPV Summary'!$B$15-S49)+T49</f>
        <v>5000</v>
      </c>
      <c r="V49" s="2">
        <f>LOOKUP(B49,Rates!$A$5:$B$168)</f>
        <v>3883.2194208229512</v>
      </c>
      <c r="W49" s="58">
        <f t="shared" si="8"/>
        <v>19.416097104114755</v>
      </c>
      <c r="X49" s="59">
        <f>X48+W49</f>
        <v>429.33546110730219</v>
      </c>
      <c r="Y49" s="12">
        <f t="shared" si="25"/>
        <v>17.79593019472415</v>
      </c>
      <c r="Z49" s="12">
        <f t="shared" si="25"/>
        <v>385.84448260164646</v>
      </c>
      <c r="AA49" s="425">
        <f>IF(SUM(AA$11:AA48)&gt;0,0,IF(SUM(X49-R49)&gt;0,B49,0))</f>
        <v>0</v>
      </c>
      <c r="AB49" s="133">
        <f>ABS(Z49)*1000000/SUM(U$11:U49)</f>
        <v>1882.1682078129097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0.36499999999999999</v>
      </c>
      <c r="F50" s="52">
        <f t="shared" si="16"/>
        <v>0</v>
      </c>
      <c r="G50" s="53">
        <f t="shared" si="17"/>
        <v>0</v>
      </c>
      <c r="H50" s="54">
        <f t="shared" si="1"/>
        <v>1.6849735857662309</v>
      </c>
      <c r="I50" s="52">
        <f t="shared" si="2"/>
        <v>0</v>
      </c>
      <c r="J50" s="53">
        <f t="shared" si="3"/>
        <v>0</v>
      </c>
      <c r="K50" s="54">
        <f t="shared" si="3"/>
        <v>1.6849735857662309</v>
      </c>
      <c r="L50" s="52">
        <f t="shared" si="4"/>
        <v>0</v>
      </c>
      <c r="M50" s="56">
        <f t="shared" si="5"/>
        <v>0</v>
      </c>
      <c r="N50" s="56">
        <f t="shared" si="6"/>
        <v>0</v>
      </c>
      <c r="O50" s="52">
        <f t="shared" si="18"/>
        <v>0</v>
      </c>
      <c r="P50" s="53">
        <f t="shared" si="7"/>
        <v>0</v>
      </c>
      <c r="Q50" s="53">
        <f t="shared" si="19"/>
        <v>1.6849735857662309</v>
      </c>
      <c r="R50" s="57">
        <f t="shared" si="20"/>
        <v>45.175952091421976</v>
      </c>
      <c r="S50" s="494">
        <f>IF(NOT(EXACT(A50, "MP Complete")), INDEX(MP_new!$A$4:$J$9, MATCH(A50, MP_new!$A$4:$A$9, 0), 7) - 5000, IF(NOT(EXACT(A49, "MP Complete")), S49+5000, S49))</f>
        <v>0</v>
      </c>
      <c r="T50" s="493">
        <f>IF(EXACT($Q$5, "Yes"), IF(NOT(EXACT(A50, "MP Complete")), INDEX(MP_new!$A$4:$J$9, MATCH('Step 1'!A50, MP_new!$A$4:$A$9, 0), 10), T48), 0)</f>
        <v>5000</v>
      </c>
      <c r="U50" s="65">
        <f>('NPV Summary'!$B$15-S50)+T50</f>
        <v>5000</v>
      </c>
      <c r="V50" s="65">
        <f>LOOKUP(B50,Rates!$A$5:$B$168)</f>
        <v>4023.0153199725773</v>
      </c>
      <c r="W50" s="56">
        <f t="shared" si="8"/>
        <v>20.115076599862888</v>
      </c>
      <c r="X50" s="60">
        <f t="shared" si="24"/>
        <v>449.4505377071651</v>
      </c>
      <c r="Y50" s="426">
        <f t="shared" si="25"/>
        <v>18.430103014096659</v>
      </c>
      <c r="Z50" s="426">
        <f t="shared" si="25"/>
        <v>404.27458561574315</v>
      </c>
      <c r="AA50" s="425">
        <f>IF(SUM(AA$11:AA49)&gt;0,0,IF(SUM(X50-R50)&gt;0,B50,0))</f>
        <v>0</v>
      </c>
      <c r="AB50" s="427">
        <f>ABS(Z50)*1000000/SUM(U$11:U50)</f>
        <v>1925.1170743606817</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0.36499999999999999</v>
      </c>
      <c r="F51" s="50">
        <f t="shared" si="16"/>
        <v>0</v>
      </c>
      <c r="G51" s="67">
        <f t="shared" si="17"/>
        <v>0</v>
      </c>
      <c r="H51" s="51">
        <f t="shared" si="1"/>
        <v>1.7523725291968806</v>
      </c>
      <c r="I51" s="50">
        <f t="shared" si="2"/>
        <v>0</v>
      </c>
      <c r="J51" s="67">
        <f t="shared" si="3"/>
        <v>0</v>
      </c>
      <c r="K51" s="51">
        <f t="shared" si="3"/>
        <v>1.7523725291968806</v>
      </c>
      <c r="L51" s="50">
        <f t="shared" si="4"/>
        <v>0</v>
      </c>
      <c r="M51" s="58">
        <f t="shared" si="5"/>
        <v>0</v>
      </c>
      <c r="N51" s="58">
        <f t="shared" si="6"/>
        <v>0</v>
      </c>
      <c r="O51" s="50">
        <f t="shared" si="18"/>
        <v>0</v>
      </c>
      <c r="P51" s="67">
        <f t="shared" si="7"/>
        <v>0</v>
      </c>
      <c r="Q51" s="67">
        <f t="shared" si="19"/>
        <v>1.7523725291968806</v>
      </c>
      <c r="R51" s="59">
        <f t="shared" si="20"/>
        <v>46.928324620618859</v>
      </c>
      <c r="S51" s="494">
        <f>IF(NOT(EXACT(A51, "MP Complete")), INDEX(MP_new!$A$4:$J$9, MATCH(A51, MP_new!$A$4:$A$9, 0), 7) - 5000, IF(NOT(EXACT(A50, "MP Complete")), S50+5000, S50))</f>
        <v>0</v>
      </c>
      <c r="T51" s="493">
        <f>IF(EXACT($Q$5, "Yes"), IF(NOT(EXACT(A51, "MP Complete")), INDEX(MP_new!$A$4:$J$9, MATCH('Step 1'!A51, MP_new!$A$4:$A$9, 0), 10), T49), 0)</f>
        <v>5000</v>
      </c>
      <c r="U51" s="2">
        <f>('NPV Summary'!$B$15-S51)+T51</f>
        <v>5000</v>
      </c>
      <c r="V51" s="2">
        <f>LOOKUP(B51,Rates!$A$5:$B$168)</f>
        <v>4167.8438714915901</v>
      </c>
      <c r="W51" s="58">
        <f t="shared" si="8"/>
        <v>20.839219357457949</v>
      </c>
      <c r="X51" s="59">
        <f t="shared" si="24"/>
        <v>470.28975706462302</v>
      </c>
      <c r="Y51" s="12">
        <f t="shared" si="25"/>
        <v>19.08684682826107</v>
      </c>
      <c r="Z51" s="12">
        <f t="shared" si="25"/>
        <v>423.36143244400415</v>
      </c>
      <c r="AA51" s="425">
        <f>IF(SUM(AA$11:AA50)&gt;0,0,IF(SUM(X51-R51)&gt;0,B51,0))</f>
        <v>0</v>
      </c>
      <c r="AB51" s="133">
        <f>ABS(Z51)*1000000/SUM(U$11:U51)</f>
        <v>1969.1229416000194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0.36499999999999999</v>
      </c>
      <c r="F52" s="52">
        <f t="shared" si="16"/>
        <v>0</v>
      </c>
      <c r="G52" s="53">
        <f t="shared" si="17"/>
        <v>0</v>
      </c>
      <c r="H52" s="54">
        <f t="shared" si="1"/>
        <v>1.8224674303647559</v>
      </c>
      <c r="I52" s="52">
        <f t="shared" si="2"/>
        <v>0</v>
      </c>
      <c r="J52" s="53">
        <f t="shared" si="3"/>
        <v>0</v>
      </c>
      <c r="K52" s="54">
        <f t="shared" si="3"/>
        <v>1.8224674303647559</v>
      </c>
      <c r="L52" s="52">
        <f t="shared" si="4"/>
        <v>0</v>
      </c>
      <c r="M52" s="56">
        <f t="shared" si="5"/>
        <v>0</v>
      </c>
      <c r="N52" s="56">
        <f t="shared" si="6"/>
        <v>0</v>
      </c>
      <c r="O52" s="52">
        <f t="shared" si="18"/>
        <v>0</v>
      </c>
      <c r="P52" s="53">
        <f t="shared" si="7"/>
        <v>0</v>
      </c>
      <c r="Q52" s="53">
        <f t="shared" si="19"/>
        <v>1.8224674303647559</v>
      </c>
      <c r="R52" s="57">
        <f t="shared" si="20"/>
        <v>48.750792050983613</v>
      </c>
      <c r="S52" s="494">
        <f>IF(NOT(EXACT(A52, "MP Complete")), INDEX(MP_new!$A$4:$J$9, MATCH(A52, MP_new!$A$4:$A$9, 0), 7) - 5000, IF(NOT(EXACT(A51, "MP Complete")), S51+5000, S51))</f>
        <v>0</v>
      </c>
      <c r="T52" s="493">
        <f>IF(EXACT($Q$5, "Yes"), IF(NOT(EXACT(A52, "MP Complete")), INDEX(MP_new!$A$4:$J$9, MATCH('Step 1'!A52, MP_new!$A$4:$A$9, 0), 10), T50), 0)</f>
        <v>5000</v>
      </c>
      <c r="U52" s="65">
        <f>('NPV Summary'!$B$15-S52)+T52</f>
        <v>5000</v>
      </c>
      <c r="V52" s="65">
        <f>LOOKUP(B52,Rates!$A$5:$B$168)</f>
        <v>4317.8862508652874</v>
      </c>
      <c r="W52" s="56">
        <f t="shared" si="8"/>
        <v>21.589431254326438</v>
      </c>
      <c r="X52" s="57">
        <f t="shared" si="24"/>
        <v>491.87918831894945</v>
      </c>
      <c r="Y52" s="426">
        <f t="shared" si="25"/>
        <v>19.766963823961682</v>
      </c>
      <c r="Z52" s="426">
        <f t="shared" si="25"/>
        <v>443.12839626796585</v>
      </c>
      <c r="AA52" s="425">
        <f>IF(SUM(AA$11:AA51)&gt;0,0,IF(SUM(X52-R52)&gt;0,B52,0))</f>
        <v>0</v>
      </c>
      <c r="AB52" s="427">
        <f>ABS(Z52)*1000000/SUM(U$11:U52)</f>
        <v>2014.2199830362085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0.36499999999999999</v>
      </c>
      <c r="F53" s="50">
        <f t="shared" si="16"/>
        <v>0</v>
      </c>
      <c r="G53" s="67">
        <f t="shared" si="17"/>
        <v>0</v>
      </c>
      <c r="H53" s="51">
        <f t="shared" si="1"/>
        <v>1.8953661275793459</v>
      </c>
      <c r="I53" s="50">
        <f t="shared" si="2"/>
        <v>0</v>
      </c>
      <c r="J53" s="67">
        <f t="shared" si="3"/>
        <v>0</v>
      </c>
      <c r="K53" s="51">
        <f t="shared" si="3"/>
        <v>1.8953661275793459</v>
      </c>
      <c r="L53" s="50">
        <f t="shared" si="4"/>
        <v>0</v>
      </c>
      <c r="M53" s="58">
        <f t="shared" si="5"/>
        <v>0</v>
      </c>
      <c r="N53" s="58">
        <f t="shared" si="6"/>
        <v>0</v>
      </c>
      <c r="O53" s="50">
        <f>IF($L$5="Yes", IF( U53&gt;U52, (U53-U52)*$M$5/1000000,0),0)</f>
        <v>0</v>
      </c>
      <c r="P53" s="67">
        <f t="shared" si="7"/>
        <v>0</v>
      </c>
      <c r="Q53" s="67">
        <f t="shared" si="19"/>
        <v>1.8953661275793459</v>
      </c>
      <c r="R53" s="59">
        <f>R52+Q53</f>
        <v>50.646158178562956</v>
      </c>
      <c r="S53" s="494">
        <f>IF(NOT(EXACT(A53, "MP Complete")), INDEX(MP_new!$A$4:$J$9, MATCH(A53, MP_new!$A$4:$A$9, 0), 7) - 5000, IF(NOT(EXACT(A52, "MP Complete")), S52+5000, S52))</f>
        <v>0</v>
      </c>
      <c r="T53" s="493">
        <f>IF(EXACT($Q$5, "Yes"), IF(NOT(EXACT(A53, "MP Complete")), INDEX(MP_new!$A$4:$J$9, MATCH('Step 1'!A53, MP_new!$A$4:$A$9, 0), 10), T51), 0)</f>
        <v>5000</v>
      </c>
      <c r="U53" s="2">
        <f>('NPV Summary'!$B$15-S53)+T53</f>
        <v>5000</v>
      </c>
      <c r="V53" s="2">
        <f>LOOKUP(B53,Rates!$A$5:$B$168)</f>
        <v>4473.3301558964376</v>
      </c>
      <c r="W53" s="58">
        <f t="shared" si="8"/>
        <v>22.366650779482189</v>
      </c>
      <c r="X53" s="59">
        <f>X52+W53</f>
        <v>514.24583909843159</v>
      </c>
      <c r="Y53" s="12">
        <f>W53-Q53</f>
        <v>20.471284651902842</v>
      </c>
      <c r="Z53" s="12">
        <f>X53-R53</f>
        <v>463.59968091986866</v>
      </c>
      <c r="AA53" s="425">
        <f>IF(SUM(AA$11:AA52)&gt;0,0,IF(SUM(X53-R53)&gt;0,B53,0))</f>
        <v>0</v>
      </c>
      <c r="AB53" s="133">
        <f>ABS(Z53)*1000000/SUM(U$11:U53)</f>
        <v>2060.4430263105273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24.623701831889814</v>
      </c>
      <c r="V54" s="119" t="s">
        <v>100</v>
      </c>
      <c r="W54" s="129">
        <f>NPV($E$5,W11:W53)*(1+$E$5)^($D$5-($C$5-1))</f>
        <v>201.47381102707342</v>
      </c>
      <c r="X54" s="47" t="s">
        <v>30</v>
      </c>
      <c r="Y54" s="48">
        <f>IFERROR(IRR(Y11:Y53), 0)</f>
        <v>0</v>
      </c>
      <c r="AA54" s="430" t="s">
        <v>508</v>
      </c>
      <c r="AB54" s="431">
        <f>R53*1000000/SUM(U$11:U53)</f>
        <v>225.09403634916868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disablePrompts="1"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2</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NPV=$353.29)</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2'!A11,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2'!A12,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2'!A13,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2'!A14,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2'!A15,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2'!A16,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2'!A17,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0</v>
      </c>
      <c r="T18" s="493">
        <f>IF(EXACT($Q$5, "Yes"), IF(NOT(EXACT(A18, "MP Complete")), INDEX(MP_new!$A$4:$J$9, MATCH('Steps 1 thru 2'!A18, MP_new!$A$4:$A$9, 0), 10), T16), 0)</f>
        <v>9000</v>
      </c>
      <c r="U18" s="65">
        <f>('NPV Summary'!$B$15-S18)+T18</f>
        <v>9000</v>
      </c>
      <c r="V18" s="65">
        <f>LOOKUP(B18,Rates!$A$5:$B$168)</f>
        <v>1296</v>
      </c>
      <c r="W18" s="56">
        <f t="shared" si="8"/>
        <v>11.664</v>
      </c>
      <c r="X18" s="57">
        <f t="shared" si="24"/>
        <v>94.996000000000009</v>
      </c>
      <c r="Y18" s="426">
        <f t="shared" si="25"/>
        <v>10.799432821042053</v>
      </c>
      <c r="Z18" s="426">
        <f t="shared" si="25"/>
        <v>79.690581973593396</v>
      </c>
      <c r="AA18" s="425">
        <f>IF(SUM(AA$11:AA17)&gt;0,0,IF(SUM(X18-R18)&gt;0,B18,0))</f>
        <v>0</v>
      </c>
      <c r="AB18" s="427">
        <f>ABS(Z18)*1000000/SUM(U$11:U18)</f>
        <v>983.83434535300489</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0</v>
      </c>
      <c r="T19" s="493">
        <f>IF(EXACT($Q$5, "Yes"), IF(NOT(EXACT(A19, "MP Complete")), INDEX(MP_new!$A$4:$J$9, MATCH('Steps 1 thru 2'!A19, MP_new!$A$4:$A$9, 0), 10), T17), 0)</f>
        <v>9000</v>
      </c>
      <c r="U19" s="2">
        <f>('NPV Summary'!$B$15-S19)+T19</f>
        <v>9000</v>
      </c>
      <c r="V19" s="2">
        <f>LOOKUP(B19,Rates!$A$5:$B$168)</f>
        <v>1344</v>
      </c>
      <c r="W19" s="58">
        <f t="shared" si="8"/>
        <v>12.096</v>
      </c>
      <c r="X19" s="59">
        <f t="shared" si="24"/>
        <v>107.09200000000001</v>
      </c>
      <c r="Y19" s="12">
        <f t="shared" si="25"/>
        <v>11.196850133883736</v>
      </c>
      <c r="Z19" s="12">
        <f t="shared" si="25"/>
        <v>90.887432107477125</v>
      </c>
      <c r="AA19" s="425">
        <f>IF(SUM(AA$11:AA18)&gt;0,0,IF(SUM(X19-R19)&gt;0,B19,0))</f>
        <v>0</v>
      </c>
      <c r="AB19" s="133">
        <f>ABS(Z19)*1000000/SUM(U$11:U19)</f>
        <v>1009.8603567497458</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0</v>
      </c>
      <c r="T20" s="493">
        <f>IF(EXACT($Q$5, "Yes"), IF(NOT(EXACT(A20, "MP Complete")), INDEX(MP_new!$A$4:$J$9, MATCH('Steps 1 thru 2'!A20, MP_new!$A$4:$A$9, 0), 10), T18), 0)</f>
        <v>9000</v>
      </c>
      <c r="U20" s="65">
        <f>('NPV Summary'!$B$15-S20)+T20</f>
        <v>9000</v>
      </c>
      <c r="V20" s="65">
        <f>LOOKUP(B20,Rates!$A$5:$B$168)</f>
        <v>1392.384</v>
      </c>
      <c r="W20" s="56">
        <f t="shared" si="8"/>
        <v>12.531456</v>
      </c>
      <c r="X20" s="57">
        <f t="shared" si="24"/>
        <v>119.62345600000002</v>
      </c>
      <c r="Y20" s="426">
        <f t="shared" si="25"/>
        <v>11.596340139239084</v>
      </c>
      <c r="Z20" s="426">
        <f t="shared" si="25"/>
        <v>102.48377224671621</v>
      </c>
      <c r="AA20" s="425">
        <f>IF(SUM(AA$11:AA19)&gt;0,0,IF(SUM(X20-R20)&gt;0,B20,0))</f>
        <v>0</v>
      </c>
      <c r="AB20" s="427">
        <f>ABS(Z20)*1000000/SUM(U$11:U20)</f>
        <v>1035.1896186536992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0</v>
      </c>
      <c r="T21" s="493">
        <f>IF(EXACT($Q$5, "Yes"), IF(NOT(EXACT(A21, "MP Complete")), INDEX(MP_new!$A$4:$J$9, MATCH('Steps 1 thru 2'!A21, MP_new!$A$4:$A$9, 0), 10), T19), 0)</f>
        <v>9000</v>
      </c>
      <c r="U21" s="2">
        <f>('NPV Summary'!$B$15-S21)+T21</f>
        <v>9000</v>
      </c>
      <c r="V21" s="2">
        <f>LOOKUP(B21,Rates!$A$5:$B$168)</f>
        <v>1442.509824</v>
      </c>
      <c r="W21" s="58">
        <f t="shared" si="8"/>
        <v>12.982588415999999</v>
      </c>
      <c r="X21" s="59">
        <f t="shared" si="24"/>
        <v>132.60604441600003</v>
      </c>
      <c r="Y21" s="12">
        <f t="shared" si="25"/>
        <v>12.010067920808646</v>
      </c>
      <c r="Z21" s="12">
        <f t="shared" si="25"/>
        <v>114.49384016752488</v>
      </c>
      <c r="AA21" s="425">
        <f>IF(SUM(AA$11:AA20)&gt;0,0,IF(SUM(X21-R21)&gt;0,B21,0))</f>
        <v>0</v>
      </c>
      <c r="AB21" s="133">
        <f>ABS(Z21)*1000000/SUM(U$11:U21)</f>
        <v>1060.1281496993045</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0</v>
      </c>
      <c r="T22" s="493">
        <f>IF(EXACT($Q$5, "Yes"), IF(NOT(EXACT(A22, "MP Complete")), INDEX(MP_new!$A$4:$J$9, MATCH('Steps 1 thru 2'!A22, MP_new!$A$4:$A$9, 0), 10), T20), 0)</f>
        <v>9000</v>
      </c>
      <c r="U22" s="65">
        <f>('NPV Summary'!$B$15-S22)+T22</f>
        <v>9000</v>
      </c>
      <c r="V22" s="65">
        <f>LOOKUP(B22,Rates!$A$5:$B$168)</f>
        <v>1494.440177664</v>
      </c>
      <c r="W22" s="56">
        <f t="shared" si="8"/>
        <v>13.449961598976</v>
      </c>
      <c r="X22" s="57">
        <f t="shared" si="24"/>
        <v>146.05600601497602</v>
      </c>
      <c r="Y22" s="426">
        <f t="shared" si="25"/>
        <v>12.438540283976993</v>
      </c>
      <c r="Z22" s="426">
        <f t="shared" si="25"/>
        <v>126.93238045150186</v>
      </c>
      <c r="AA22" s="425">
        <f>IF(SUM(AA$11:AA21)&gt;0,0,IF(SUM(X22-R22)&gt;0,B22,0))</f>
        <v>0</v>
      </c>
      <c r="AB22" s="427">
        <f>ABS(Z22)*1000000/SUM(U$11:U22)</f>
        <v>1084.8921406111269</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0</v>
      </c>
      <c r="T23" s="493">
        <f>IF(EXACT($Q$5, "Yes"), IF(NOT(EXACT(A23, "MP Complete")), INDEX(MP_new!$A$4:$J$9, MATCH('Steps 1 thru 2'!A23, MP_new!$A$4:$A$9, 0), 10), T21), 0)</f>
        <v>9000</v>
      </c>
      <c r="U23" s="2">
        <f>('NPV Summary'!$B$15-S23)+T23</f>
        <v>9000</v>
      </c>
      <c r="V23" s="2">
        <f>LOOKUP(B23,Rates!$A$5:$B$168)</f>
        <v>1548.240024059904</v>
      </c>
      <c r="W23" s="58">
        <f t="shared" si="8"/>
        <v>13.934160216539137</v>
      </c>
      <c r="X23" s="59">
        <f t="shared" si="24"/>
        <v>159.99016623151516</v>
      </c>
      <c r="Y23" s="12">
        <f t="shared" si="25"/>
        <v>12.882282048940169</v>
      </c>
      <c r="Z23" s="12">
        <f t="shared" si="25"/>
        <v>139.81466250044204</v>
      </c>
      <c r="AA23" s="425">
        <f>IF(SUM(AA$11:AA22)&gt;0,0,IF(SUM(X23-R23)&gt;0,B23,0))</f>
        <v>0</v>
      </c>
      <c r="AB23" s="133">
        <f>ABS(Z23)*1000000/SUM(U$11:U23)</f>
        <v>1109.6401785749367</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2'!A24, MP_new!$A$4:$A$9, 0), 10), T22), 0)</f>
        <v>9000</v>
      </c>
      <c r="U24" s="65">
        <f>('NPV Summary'!$B$15-S24)+T24</f>
        <v>9000</v>
      </c>
      <c r="V24" s="65">
        <f>LOOKUP(B24,Rates!$A$5:$B$168)</f>
        <v>1603.9766649260607</v>
      </c>
      <c r="W24" s="56">
        <f t="shared" si="8"/>
        <v>14.435789984334548</v>
      </c>
      <c r="X24" s="57">
        <f t="shared" si="24"/>
        <v>174.42595621584971</v>
      </c>
      <c r="Y24" s="426">
        <f t="shared" si="25"/>
        <v>13.341836690031622</v>
      </c>
      <c r="Z24" s="426">
        <f t="shared" si="25"/>
        <v>153.15649919047365</v>
      </c>
      <c r="AA24" s="425">
        <f>IF(SUM(AA$11:AA23)&gt;0,0,IF(SUM(X24-R24)&gt;0,B24,0))</f>
        <v>0</v>
      </c>
      <c r="AB24" s="427">
        <f>ABS(Z24)*1000000/SUM(U$11:U24)</f>
        <v>1134.4925865961011</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2'!A25, MP_new!$A$4:$A$9, 0), 10), T23), 0)</f>
        <v>9000</v>
      </c>
      <c r="U25" s="2">
        <f>('NPV Summary'!$B$15-S25)+T25</f>
        <v>9000</v>
      </c>
      <c r="V25" s="2">
        <f>LOOKUP(B25,Rates!$A$5:$B$168)</f>
        <v>1661.719824863399</v>
      </c>
      <c r="W25" s="58">
        <f t="shared" si="8"/>
        <v>14.955478423770591</v>
      </c>
      <c r="X25" s="59">
        <f t="shared" si="24"/>
        <v>189.3814346396203</v>
      </c>
      <c r="Y25" s="12">
        <f t="shared" si="25"/>
        <v>13.817766997695548</v>
      </c>
      <c r="Z25" s="12">
        <f t="shared" si="25"/>
        <v>166.9742661881692</v>
      </c>
      <c r="AA25" s="425">
        <f>IF(SUM(AA$11:AA24)&gt;0,0,IF(SUM(X25-R25)&gt;0,B25,0))</f>
        <v>0</v>
      </c>
      <c r="AB25" s="133">
        <f>ABS(Z25)*1000000/SUM(U$11:U25)</f>
        <v>1159.5435151956194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2'!A26, MP_new!$A$4:$A$9, 0), 10), T24), 0)</f>
        <v>9000</v>
      </c>
      <c r="U26" s="65">
        <f>('NPV Summary'!$B$15-S26)+T26</f>
        <v>9000</v>
      </c>
      <c r="V26" s="65">
        <f>LOOKUP(B26,Rates!$A$5:$B$168)</f>
        <v>1721.5417385584815</v>
      </c>
      <c r="W26" s="56">
        <f t="shared" si="8"/>
        <v>15.493875647026334</v>
      </c>
      <c r="X26" s="57">
        <f t="shared" si="24"/>
        <v>204.87531028664662</v>
      </c>
      <c r="Y26" s="426">
        <f t="shared" si="25"/>
        <v>14.31065576390829</v>
      </c>
      <c r="Z26" s="426">
        <f t="shared" si="25"/>
        <v>181.28492195207747</v>
      </c>
      <c r="AA26" s="425">
        <f>IF(SUM(AA$11:AA25)&gt;0,0,IF(SUM(X26-R26)&gt;0,B26,0))</f>
        <v>0</v>
      </c>
      <c r="AB26" s="427">
        <f>ABS(Z26)*1000000/SUM(U$11:U26)</f>
        <v>1184.868770928611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2'!A27, MP_new!$A$4:$A$9, 0), 10), T25), 0)</f>
        <v>9000</v>
      </c>
      <c r="U27" s="2">
        <f>('NPV Summary'!$B$15-S27)+T27</f>
        <v>9000</v>
      </c>
      <c r="V27" s="2">
        <f>LOOKUP(B27,Rates!$A$5:$B$168)</f>
        <v>1783.5172411465869</v>
      </c>
      <c r="W27" s="58">
        <f t="shared" si="8"/>
        <v>16.051655170319282</v>
      </c>
      <c r="X27" s="59">
        <f t="shared" si="24"/>
        <v>220.92696545696592</v>
      </c>
      <c r="Y27" s="12">
        <f t="shared" si="25"/>
        <v>14.821106491876517</v>
      </c>
      <c r="Z27" s="12">
        <f t="shared" si="25"/>
        <v>196.10602844395402</v>
      </c>
      <c r="AA27" s="425">
        <f>IF(SUM(AA$11:AA26)&gt;0,0,IF(SUM(X27-R27)&gt;0,B27,0))</f>
        <v>0</v>
      </c>
      <c r="AB27" s="133">
        <f>ABS(Z27)*1000000/SUM(U$11:U27)</f>
        <v>1210.531039777494</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2'!A28, MP_new!$A$4:$A$9, 0), 10), T26), 0)</f>
        <v>9000</v>
      </c>
      <c r="U28" s="65">
        <f>('NPV Summary'!$B$15-S28)+T28</f>
        <v>9000</v>
      </c>
      <c r="V28" s="65">
        <f>LOOKUP(B28,Rates!$A$5:$B$168)</f>
        <v>1847.7238618278641</v>
      </c>
      <c r="W28" s="56">
        <f t="shared" si="8"/>
        <v>16.629514756450774</v>
      </c>
      <c r="X28" s="57">
        <f t="shared" si="24"/>
        <v>237.55648021341671</v>
      </c>
      <c r="Y28" s="426">
        <f t="shared" si="25"/>
        <v>15.349744130870297</v>
      </c>
      <c r="Z28" s="426">
        <f t="shared" si="25"/>
        <v>211.45577257482432</v>
      </c>
      <c r="AA28" s="425">
        <f>IF(SUM(AA$11:AA27)&gt;0,0,IF(SUM(X28-R28)&gt;0,B28,0))</f>
        <v>0</v>
      </c>
      <c r="AB28" s="427">
        <f>ABS(Z28)*1000000/SUM(U$11:U28)</f>
        <v>1236.5834653498498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2'!A29, MP_new!$A$4:$A$9, 0), 10), T27), 0)</f>
        <v>9000</v>
      </c>
      <c r="U29" s="2">
        <f>('NPV Summary'!$B$15-S29)+T29</f>
        <v>9000</v>
      </c>
      <c r="V29" s="2">
        <f>LOOKUP(B29,Rates!$A$5:$B$168)</f>
        <v>1914.2419208536674</v>
      </c>
      <c r="W29" s="58">
        <f t="shared" si="8"/>
        <v>17.228177287683007</v>
      </c>
      <c r="X29" s="59">
        <f t="shared" si="24"/>
        <v>254.7846575010997</v>
      </c>
      <c r="Y29" s="12">
        <f t="shared" si="25"/>
        <v>15.89721583707931</v>
      </c>
      <c r="Z29" s="12">
        <f t="shared" si="25"/>
        <v>227.35298841190362</v>
      </c>
      <c r="AA29" s="425">
        <f>IF(SUM(AA$11:AA28)&gt;0,0,IF(SUM(X29-R29)&gt;0,B29,0))</f>
        <v>0</v>
      </c>
      <c r="AB29" s="133">
        <f>ABS(Z29)*1000000/SUM(U$11:U29)</f>
        <v>1263.0721578439091</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2'!A30, MP_new!$A$4:$A$9, 0), 10), T28), 0)</f>
        <v>9000</v>
      </c>
      <c r="U30" s="65">
        <f>('NPV Summary'!$B$15-S30)+T30</f>
        <v>9000</v>
      </c>
      <c r="V30" s="65">
        <f>LOOKUP(B30,Rates!$A$5:$B$168)</f>
        <v>1983.1546300043995</v>
      </c>
      <c r="W30" s="56">
        <f t="shared" si="8"/>
        <v>17.848391670039593</v>
      </c>
      <c r="X30" s="57">
        <f t="shared" si="24"/>
        <v>272.63304917113931</v>
      </c>
      <c r="Y30" s="426">
        <f t="shared" si="25"/>
        <v>16.464191761411747</v>
      </c>
      <c r="Z30" s="426">
        <f t="shared" si="25"/>
        <v>243.81718017331539</v>
      </c>
      <c r="AA30" s="425">
        <f>IF(SUM(AA$11:AA29)&gt;0,0,IF(SUM(X30-R30)&gt;0,B30,0))</f>
        <v>0</v>
      </c>
      <c r="AB30" s="427">
        <f>ABS(Z30)*1000000/SUM(U$11:U30)</f>
        <v>1290.0379903350022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2'!A31, MP_new!$A$4:$A$9, 0), 10), T29), 0)</f>
        <v>9000</v>
      </c>
      <c r="U31" s="2">
        <f>('NPV Summary'!$B$15-S31)+T31</f>
        <v>9000</v>
      </c>
      <c r="V31" s="2">
        <f>LOOKUP(B31,Rates!$A$5:$B$168)</f>
        <v>2054.5481966845578</v>
      </c>
      <c r="W31" s="58">
        <f t="shared" si="8"/>
        <v>18.490933770161021</v>
      </c>
      <c r="X31" s="59">
        <f t="shared" si="24"/>
        <v>291.12398294130031</v>
      </c>
      <c r="Y31" s="12">
        <f t="shared" si="25"/>
        <v>17.051365865188064</v>
      </c>
      <c r="Z31" s="12">
        <f t="shared" si="25"/>
        <v>260.86854603850344</v>
      </c>
      <c r="AA31" s="425">
        <f>IF(SUM(AA$11:AA30)&gt;0,0,IF(SUM(X31-R31)&gt;0,B31,0))</f>
        <v>0</v>
      </c>
      <c r="AB31" s="133">
        <f>ABS(Z31)*1000000/SUM(U$11:U31)</f>
        <v>1317.5179092853709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2'!A32, MP_new!$A$4:$A$9, 0), 10), T30), 0)</f>
        <v>9000</v>
      </c>
      <c r="U32" s="65">
        <f>('NPV Summary'!$B$15-S32)+T32</f>
        <v>9000</v>
      </c>
      <c r="V32" s="65">
        <f>LOOKUP(B32,Rates!$A$5:$B$168)</f>
        <v>2128.511931765202</v>
      </c>
      <c r="W32" s="56">
        <f t="shared" si="8"/>
        <v>19.156607385886819</v>
      </c>
      <c r="X32" s="57">
        <f t="shared" si="24"/>
        <v>310.28059032718716</v>
      </c>
      <c r="Y32" s="426">
        <f t="shared" si="25"/>
        <v>17.659456764714943</v>
      </c>
      <c r="Z32" s="426">
        <f t="shared" si="25"/>
        <v>278.52800280321838</v>
      </c>
      <c r="AA32" s="425">
        <f>IF(SUM(AA$11:AA31)&gt;0,0,IF(SUM(X32-R32)&gt;0,B32,0))</f>
        <v>0</v>
      </c>
      <c r="AB32" s="427">
        <f>ABS(Z32)*1000000/SUM(U$11:U32)</f>
        <v>1345.5459072619244</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2'!A33, MP_new!$A$4:$A$9, 0), 10), T31), 0)</f>
        <v>9000</v>
      </c>
      <c r="U33" s="2">
        <f>('NPV Summary'!$B$15-S33)+T33</f>
        <v>9000</v>
      </c>
      <c r="V33" s="2">
        <f>LOOKUP(B33,Rates!$A$5:$B$168)</f>
        <v>2205.1383613087492</v>
      </c>
      <c r="W33" s="58">
        <f t="shared" si="8"/>
        <v>19.846245251778743</v>
      </c>
      <c r="X33" s="59">
        <f t="shared" si="24"/>
        <v>330.12683557896588</v>
      </c>
      <c r="Y33" s="12">
        <f t="shared" si="25"/>
        <v>18.289208605759992</v>
      </c>
      <c r="Z33" s="12">
        <f t="shared" si="25"/>
        <v>296.81721140897838</v>
      </c>
      <c r="AA33" s="425">
        <f>IF(SUM(AA$11:AA32)&gt;0,0,IF(SUM(X33-R33)&gt;0,B33,0))</f>
        <v>0</v>
      </c>
      <c r="AB33" s="133">
        <f>ABS(Z33)*1000000/SUM(U$11:U33)</f>
        <v>1374.1537565230481</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2'!A34, MP_new!$A$4:$A$9, 0), 10), T32), 0)</f>
        <v>9000</v>
      </c>
      <c r="U34" s="65">
        <f>('NPV Summary'!$B$15-S34)+T34</f>
        <v>9000</v>
      </c>
      <c r="V34" s="65">
        <f>LOOKUP(B34,Rates!$A$5:$B$168)</f>
        <v>2284.5233423158643</v>
      </c>
      <c r="W34" s="56">
        <f t="shared" si="8"/>
        <v>20.560710080842778</v>
      </c>
      <c r="X34" s="57">
        <f t="shared" si="24"/>
        <v>350.68754565980868</v>
      </c>
      <c r="Y34" s="426">
        <f t="shared" si="25"/>
        <v>18.941391968983275</v>
      </c>
      <c r="Z34" s="426">
        <f t="shared" si="25"/>
        <v>315.75860337796166</v>
      </c>
      <c r="AA34" s="425">
        <f>IF(SUM(AA$11:AA33)&gt;0,0,IF(SUM(X34-R34)&gt;0,B34,0))</f>
        <v>0</v>
      </c>
      <c r="AB34" s="427">
        <f>ABS(Z34)*1000000/SUM(U$11:U34)</f>
        <v>1403.3715705687184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2'!A35, MP_new!$A$4:$A$9, 0), 10), T33), 0)</f>
        <v>9000</v>
      </c>
      <c r="U35" s="2">
        <f>('NPV Summary'!$B$15-S35)+T35</f>
        <v>9000</v>
      </c>
      <c r="V35" s="2">
        <f>LOOKUP(B35,Rates!$A$5:$B$168)</f>
        <v>2366.7661826392355</v>
      </c>
      <c r="W35" s="58">
        <f t="shared" si="8"/>
        <v>21.300895643753119</v>
      </c>
      <c r="X35" s="59">
        <f t="shared" si="24"/>
        <v>371.98844130356179</v>
      </c>
      <c r="Y35" s="12">
        <f t="shared" si="25"/>
        <v>19.616804807419236</v>
      </c>
      <c r="Z35" s="12">
        <f t="shared" si="25"/>
        <v>335.37540818538088</v>
      </c>
      <c r="AA35" s="425">
        <f>IF(SUM(AA$11:AA34)&gt;0,0,IF(SUM(X35-R35)&gt;0,B35,0))</f>
        <v>0</v>
      </c>
      <c r="AB35" s="133">
        <f>ABS(Z35)*1000000/SUM(U$11:U35)</f>
        <v>1433.2282401084653</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2'!A36, MP_new!$A$4:$A$9, 0), 10), T34), 0)</f>
        <v>9000</v>
      </c>
      <c r="U36" s="65">
        <f>('NPV Summary'!$B$15-S36)+T36</f>
        <v>9000</v>
      </c>
      <c r="V36" s="65">
        <f>LOOKUP(B36,Rates!$A$5:$B$168)</f>
        <v>2451.9697652142481</v>
      </c>
      <c r="W36" s="56">
        <f t="shared" si="8"/>
        <v>22.067727886928235</v>
      </c>
      <c r="X36" s="57">
        <f t="shared" si="24"/>
        <v>394.05616919049004</v>
      </c>
      <c r="Y36" s="426">
        <f t="shared" si="25"/>
        <v>20.316273417140998</v>
      </c>
      <c r="Z36" s="426">
        <f t="shared" si="25"/>
        <v>355.6916816025219</v>
      </c>
      <c r="AA36" s="425">
        <f>IF(SUM(AA$11:AA35)&gt;0,0,IF(SUM(X36-R36)&gt;0,B36,0))</f>
        <v>0</v>
      </c>
      <c r="AB36" s="427">
        <f>ABS(Z36)*1000000/SUM(U$11:U36)</f>
        <v>1463.7517761420654</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2'!A37, MP_new!$A$4:$A$9, 0), 10), T35), 0)</f>
        <v>9000</v>
      </c>
      <c r="U37" s="2">
        <f>('NPV Summary'!$B$15-S37)+T37</f>
        <v>9000</v>
      </c>
      <c r="V37" s="2">
        <f>LOOKUP(B37,Rates!$A$5:$B$168)</f>
        <v>2540.2406767619609</v>
      </c>
      <c r="W37" s="58">
        <f t="shared" si="8"/>
        <v>22.862166090857649</v>
      </c>
      <c r="X37" s="59">
        <f t="shared" si="24"/>
        <v>416.91833528134771</v>
      </c>
      <c r="Y37" s="12">
        <f t="shared" si="25"/>
        <v>21.040653442278924</v>
      </c>
      <c r="Z37" s="12">
        <f t="shared" si="25"/>
        <v>376.73233504480083</v>
      </c>
      <c r="AA37" s="425">
        <f>IF(SUM(AA$11:AA36)&gt;0,0,IF(SUM(X37-R37)&gt;0,B37,0))</f>
        <v>0</v>
      </c>
      <c r="AB37" s="133">
        <f>ABS(Z37)*1000000/SUM(U$11:U37)</f>
        <v>1494.9695835111143</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2'!A38, MP_new!$A$4:$A$9, 0), 10), T36), 0)</f>
        <v>9000</v>
      </c>
      <c r="U38" s="65">
        <f>('NPV Summary'!$B$15-S38)+T38</f>
        <v>9000</v>
      </c>
      <c r="V38" s="65">
        <f>LOOKUP(B38,Rates!$A$5:$B$168)</f>
        <v>2631.6893411253914</v>
      </c>
      <c r="W38" s="56">
        <f t="shared" si="8"/>
        <v>23.685204070128524</v>
      </c>
      <c r="X38" s="57">
        <f t="shared" si="24"/>
        <v>440.60353935147623</v>
      </c>
      <c r="Y38" s="426">
        <f t="shared" si="25"/>
        <v>21.790830915606648</v>
      </c>
      <c r="Z38" s="426">
        <f t="shared" si="25"/>
        <v>398.52316596040748</v>
      </c>
      <c r="AA38" s="425">
        <f>IF(SUM(AA$11:AA37)&gt;0,0,IF(SUM(X38-R38)&gt;0,B38,0))</f>
        <v>0</v>
      </c>
      <c r="AB38" s="427">
        <f>ABS(Z38)*1000000/SUM(U$11:U38)</f>
        <v>1526.9086818406417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2'!A39, MP_new!$A$4:$A$9, 0), 10), T37), 0)</f>
        <v>9000</v>
      </c>
      <c r="U39" s="2">
        <f>('NPV Summary'!$B$15-S39)+T39</f>
        <v>9000</v>
      </c>
      <c r="V39" s="2">
        <f>LOOKUP(B39,Rates!$A$5:$B$168)</f>
        <v>2726.4301574059054</v>
      </c>
      <c r="W39" s="58">
        <f t="shared" si="8"/>
        <v>24.53787141665315</v>
      </c>
      <c r="X39" s="59">
        <f t="shared" si="24"/>
        <v>465.14141076812939</v>
      </c>
      <c r="Y39" s="12">
        <f t="shared" si="25"/>
        <v>22.567723335950397</v>
      </c>
      <c r="Z39" s="12">
        <f t="shared" si="25"/>
        <v>421.09088929635794</v>
      </c>
      <c r="AA39" s="425">
        <f>IF(SUM(AA$11:AA38)&gt;0,0,IF(SUM(X39-R39)&gt;0,B39,0))</f>
        <v>0</v>
      </c>
      <c r="AB39" s="133">
        <f>ABS(Z39)*1000000/SUM(U$11:U39)</f>
        <v>1559.5958862828072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2'!A40, MP_new!$A$4:$A$9, 0), 10), T38), 0)</f>
        <v>9000</v>
      </c>
      <c r="U40" s="65">
        <f>('NPV Summary'!$B$15-S40)+T40</f>
        <v>9000</v>
      </c>
      <c r="V40" s="65">
        <f>LOOKUP(B40,Rates!$A$5:$B$168)</f>
        <v>2824.5816430725181</v>
      </c>
      <c r="W40" s="56">
        <f t="shared" si="8"/>
        <v>25.421234787652665</v>
      </c>
      <c r="X40" s="57">
        <f t="shared" si="24"/>
        <v>490.56264555578207</v>
      </c>
      <c r="Y40" s="426">
        <f t="shared" si="25"/>
        <v>23.372280783721806</v>
      </c>
      <c r="Z40" s="426">
        <f t="shared" si="25"/>
        <v>444.46317008007975</v>
      </c>
      <c r="AA40" s="425">
        <f>IF(SUM(AA$11:AA39)&gt;0,0,IF(SUM(X40-R40)&gt;0,B40,0))</f>
        <v>0</v>
      </c>
      <c r="AB40" s="427">
        <f>ABS(Z40)*1000000/SUM(U$11:U40)</f>
        <v>1593.0579572762715</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2'!A41, MP_new!$A$4:$A$9, 0), 10), T39), 0)</f>
        <v>9000</v>
      </c>
      <c r="U41" s="2">
        <f>('NPV Summary'!$B$15-S41)+T41</f>
        <v>9000</v>
      </c>
      <c r="V41" s="2">
        <f>LOOKUP(B41,Rates!$A$5:$B$168)</f>
        <v>2926.2665822231288</v>
      </c>
      <c r="W41" s="58">
        <f t="shared" si="8"/>
        <v>26.336399240008159</v>
      </c>
      <c r="X41" s="59">
        <f t="shared" si="24"/>
        <v>516.89904479579025</v>
      </c>
      <c r="Y41" s="12">
        <f t="shared" si="25"/>
        <v>24.205487075920065</v>
      </c>
      <c r="Z41" s="12">
        <f t="shared" si="25"/>
        <v>468.66865715599982</v>
      </c>
      <c r="AA41" s="425">
        <f>IF(SUM(AA$11:AA40)&gt;0,0,IF(SUM(X41-R41)&gt;0,B41,0))</f>
        <v>0</v>
      </c>
      <c r="AB41" s="133">
        <f>ABS(Z41)*1000000/SUM(U$11:U41)</f>
        <v>1627.3217262361106</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2'!A42, MP_new!$A$4:$A$9, 0), 10), T40), 0)</f>
        <v>9000</v>
      </c>
      <c r="U42" s="65">
        <f>('NPV Summary'!$B$15-S42)+T42</f>
        <v>9000</v>
      </c>
      <c r="V42" s="65">
        <f>LOOKUP(B42,Rates!$A$5:$B$168)</f>
        <v>3031.6121791831615</v>
      </c>
      <c r="W42" s="56">
        <f t="shared" si="8"/>
        <v>27.284509612648453</v>
      </c>
      <c r="X42" s="57">
        <f t="shared" si="24"/>
        <v>544.18355440843868</v>
      </c>
      <c r="Y42" s="426">
        <f t="shared" si="25"/>
        <v>25.068360961996834</v>
      </c>
      <c r="Z42" s="426">
        <f t="shared" si="25"/>
        <v>493.73701811799663</v>
      </c>
      <c r="AA42" s="425">
        <f>IF(SUM(AA$11:AA41)&gt;0,0,IF(SUM(X42-R42)&gt;0,B42,0))</f>
        <v>0</v>
      </c>
      <c r="AB42" s="427">
        <f>ABS(Z42)*1000000/SUM(U$11:U42)</f>
        <v>1662.4142024174971</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2'!A43, MP_new!$A$4:$A$9, 0), 10), T41), 0)</f>
        <v>9000</v>
      </c>
      <c r="U43" s="2">
        <f>('NPV Summary'!$B$15-S43)+T43</f>
        <v>9000</v>
      </c>
      <c r="V43" s="2">
        <f>LOOKUP(B43,Rates!$A$5:$B$168)</f>
        <v>3140.7502176337553</v>
      </c>
      <c r="W43" s="58">
        <f t="shared" si="8"/>
        <v>28.266751958703797</v>
      </c>
      <c r="X43" s="59">
        <f t="shared" si="24"/>
        <v>572.4503063671425</v>
      </c>
      <c r="Y43" s="12">
        <f t="shared" si="25"/>
        <v>25.961957362026112</v>
      </c>
      <c r="Z43" s="12">
        <f t="shared" si="25"/>
        <v>519.6989754800228</v>
      </c>
      <c r="AA43" s="425">
        <f>IF(SUM(AA$11:AA42)&gt;0,0,IF(SUM(X43-R43)&gt;0,B43,0))</f>
        <v>0</v>
      </c>
      <c r="AB43" s="133">
        <f>ABS(Z43)*1000000/SUM(U$11:U43)</f>
        <v>1698.3626649673947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2'!A44, MP_new!$A$4:$A$9, 0), 10), T42), 0)</f>
        <v>9000</v>
      </c>
      <c r="U44" s="65">
        <f>('NPV Summary'!$B$15-S44)+T44</f>
        <v>9000</v>
      </c>
      <c r="V44" s="65">
        <f>LOOKUP(B44,Rates!$A$5:$B$168)</f>
        <v>3253.8172254685705</v>
      </c>
      <c r="W44" s="56">
        <f t="shared" si="8"/>
        <v>29.284355029217135</v>
      </c>
      <c r="X44" s="57">
        <f t="shared" si="24"/>
        <v>601.73466139635968</v>
      </c>
      <c r="Y44" s="426">
        <f t="shared" si="25"/>
        <v>26.887368648672343</v>
      </c>
      <c r="Z44" s="426">
        <f t="shared" si="25"/>
        <v>546.58634412869515</v>
      </c>
      <c r="AA44" s="425">
        <f>IF(SUM(AA$11:AA43)&gt;0,0,IF(SUM(X44-R44)&gt;0,B44,0))</f>
        <v>0</v>
      </c>
      <c r="AB44" s="427">
        <f>ABS(Z44)*1000000/SUM(U$11:U44)</f>
        <v>1735.1947432656989</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2'!A45, MP_new!$A$4:$A$9, 0), 10), T43), 0)</f>
        <v>9000</v>
      </c>
      <c r="U45" s="2">
        <f>('NPV Summary'!$B$15-S45)+T45</f>
        <v>9000</v>
      </c>
      <c r="V45" s="2">
        <f>LOOKUP(B45,Rates!$A$5:$B$168)</f>
        <v>3370.9546455854393</v>
      </c>
      <c r="W45" s="58">
        <f t="shared" si="8"/>
        <v>30.338591810268955</v>
      </c>
      <c r="X45" s="59">
        <f t="shared" si="24"/>
        <v>632.07325320662869</v>
      </c>
      <c r="Y45" s="12">
        <f t="shared" si="25"/>
        <v>27.845725974502372</v>
      </c>
      <c r="Z45" s="12">
        <f t="shared" si="25"/>
        <v>574.43207010319759</v>
      </c>
      <c r="AA45" s="425">
        <f>IF(SUM(AA$11:AA44)&gt;0,0,IF(SUM(X45-R45)&gt;0,B45,0))</f>
        <v>0</v>
      </c>
      <c r="AB45" s="133">
        <f>ABS(Z45)*1000000/SUM(U$11:U45)</f>
        <v>1772.938487972832</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2'!A46, MP_new!$A$4:$A$9, 0), 10), T44), 0)</f>
        <v>9000</v>
      </c>
      <c r="U46" s="65">
        <f>('NPV Summary'!$B$15-S46)+T46</f>
        <v>9000</v>
      </c>
      <c r="V46" s="65">
        <f>LOOKUP(B46,Rates!$A$5:$B$168)</f>
        <v>3492.3090128265153</v>
      </c>
      <c r="W46" s="56">
        <f t="shared" si="8"/>
        <v>31.430781115438638</v>
      </c>
      <c r="X46" s="57">
        <f t="shared" si="24"/>
        <v>663.50403432206735</v>
      </c>
      <c r="Y46" s="426">
        <f t="shared" si="25"/>
        <v>28.83820064624139</v>
      </c>
      <c r="Z46" s="426">
        <f t="shared" si="25"/>
        <v>603.27027074943896</v>
      </c>
      <c r="AA46" s="425">
        <f>IF(SUM(AA$11:AA45)&gt;0,0,IF(SUM(X46-R46)&gt;0,B46,0))</f>
        <v>0</v>
      </c>
      <c r="AB46" s="427">
        <f>ABS(Z46)*1000000/SUM(U$11:U46)</f>
        <v>1811.6224346829999</v>
      </c>
      <c r="AC46">
        <f>R46*1000000/SUM(U$11:U46)</f>
        <v>180.88217289077579</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2'!A47, MP_new!$A$4:$A$9, 0), 10), T45), 0)</f>
        <v>9000</v>
      </c>
      <c r="U47" s="2">
        <f>('NPV Summary'!$B$15-S47)+T47</f>
        <v>9000</v>
      </c>
      <c r="V47" s="2">
        <f>LOOKUP(B47,Rates!$A$5:$B$168)</f>
        <v>3618.03213728827</v>
      </c>
      <c r="W47" s="58">
        <f t="shared" si="8"/>
        <v>32.562289235594427</v>
      </c>
      <c r="X47" s="59">
        <f t="shared" si="24"/>
        <v>696.0663235576618</v>
      </c>
      <c r="Y47" s="12">
        <f t="shared" si="25"/>
        <v>29.866005547629292</v>
      </c>
      <c r="Z47" s="12">
        <f t="shared" si="25"/>
        <v>633.13627629706832</v>
      </c>
      <c r="AA47" s="425">
        <f>IF(SUM(AA$11:AA46)&gt;0,0,IF(SUM(X47-R47)&gt;0,B47,0))</f>
        <v>0</v>
      </c>
      <c r="AB47" s="133">
        <f>ABS(Z47)*1000000/SUM(U$11:U47)</f>
        <v>1851.2756616873344</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2'!A48, MP_new!$A$4:$A$9, 0), 10), T46), 0)</f>
        <v>9000</v>
      </c>
      <c r="U48" s="65">
        <f>('NPV Summary'!$B$15-S48)+T48</f>
        <v>9000</v>
      </c>
      <c r="V48" s="65">
        <f>LOOKUP(B48,Rates!$A$5:$B$168)</f>
        <v>3748.2812942306477</v>
      </c>
      <c r="W48" s="56">
        <f t="shared" si="8"/>
        <v>33.73453164807583</v>
      </c>
      <c r="X48" s="57">
        <f t="shared" si="24"/>
        <v>729.80085520573766</v>
      </c>
      <c r="Y48" s="426">
        <f t="shared" si="25"/>
        <v>30.930396612592087</v>
      </c>
      <c r="Z48" s="426">
        <f t="shared" si="25"/>
        <v>664.06667290966038</v>
      </c>
      <c r="AA48" s="425">
        <f>IF(SUM(AA$11:AA47)&gt;0,0,IF(SUM(X48-R48)&gt;0,B48,0))</f>
        <v>0</v>
      </c>
      <c r="AB48" s="427">
        <f>ABS(Z48)*1000000/SUM(U$11:U48)</f>
        <v>1891.9278430474653</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2'!A49, MP_new!$A$4:$A$9, 0), 10), T47), 0)</f>
        <v>9000</v>
      </c>
      <c r="U49" s="2">
        <f>('NPV Summary'!$B$15-S49)+T49</f>
        <v>9000</v>
      </c>
      <c r="V49" s="2">
        <f>LOOKUP(B49,Rates!$A$5:$B$168)</f>
        <v>3883.2194208229512</v>
      </c>
      <c r="W49" s="58">
        <f t="shared" si="8"/>
        <v>34.948974787406563</v>
      </c>
      <c r="X49" s="59">
        <f>X48+W49</f>
        <v>764.7498299931442</v>
      </c>
      <c r="Y49" s="12">
        <f t="shared" si="25"/>
        <v>32.03267435050347</v>
      </c>
      <c r="Z49" s="12">
        <f t="shared" si="25"/>
        <v>696.09934726016388</v>
      </c>
      <c r="AA49" s="425">
        <f>IF(SUM(AA$11:AA48)&gt;0,0,IF(SUM(X49-R49)&gt;0,B49,0))</f>
        <v>0</v>
      </c>
      <c r="AB49" s="133">
        <f>ABS(Z49)*1000000/SUM(U$11:U49)</f>
        <v>1933.6092979448997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2'!A50, MP_new!$A$4:$A$9, 0), 10), T48), 0)</f>
        <v>9000</v>
      </c>
      <c r="U50" s="65">
        <f>('NPV Summary'!$B$15-S50)+T50</f>
        <v>9000</v>
      </c>
      <c r="V50" s="65">
        <f>LOOKUP(B50,Rates!$A$5:$B$168)</f>
        <v>4023.0153199725773</v>
      </c>
      <c r="W50" s="56">
        <f t="shared" si="8"/>
        <v>36.207137879753198</v>
      </c>
      <c r="X50" s="60">
        <f t="shared" si="24"/>
        <v>800.95696787289739</v>
      </c>
      <c r="Y50" s="426">
        <f t="shared" si="25"/>
        <v>33.174185425373985</v>
      </c>
      <c r="Z50" s="426">
        <f t="shared" si="25"/>
        <v>729.27353268553793</v>
      </c>
      <c r="AA50" s="425">
        <f>IF(SUM(AA$11:AA49)&gt;0,0,IF(SUM(X50-R50)&gt;0,B50,0))</f>
        <v>0</v>
      </c>
      <c r="AB50" s="427">
        <f>ABS(Z50)*1000000/SUM(U$11:U50)</f>
        <v>1976.3510370881786</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2'!A51, MP_new!$A$4:$A$9, 0), 10), T49), 0)</f>
        <v>9000</v>
      </c>
      <c r="U51" s="2">
        <f>('NPV Summary'!$B$15-S51)+T51</f>
        <v>9000</v>
      </c>
      <c r="V51" s="2">
        <f>LOOKUP(B51,Rates!$A$5:$B$168)</f>
        <v>4167.8438714915901</v>
      </c>
      <c r="W51" s="58">
        <f t="shared" si="8"/>
        <v>37.510594843424315</v>
      </c>
      <c r="X51" s="59">
        <f t="shared" si="24"/>
        <v>838.46756271632171</v>
      </c>
      <c r="Y51" s="12">
        <f t="shared" si="25"/>
        <v>34.356324290869928</v>
      </c>
      <c r="Z51" s="12">
        <f t="shared" si="25"/>
        <v>763.62985697640784</v>
      </c>
      <c r="AA51" s="425">
        <f>IF(SUM(AA$11:AA50)&gt;0,0,IF(SUM(X51-R51)&gt;0,B51,0))</f>
        <v>0</v>
      </c>
      <c r="AB51" s="133">
        <f>ABS(Z51)*1000000/SUM(U$11:U51)</f>
        <v>2020.1848068158938</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2'!A52, MP_new!$A$4:$A$9, 0), 10), T50), 0)</f>
        <v>9000</v>
      </c>
      <c r="U52" s="65">
        <f>('NPV Summary'!$B$15-S52)+T52</f>
        <v>9000</v>
      </c>
      <c r="V52" s="65">
        <f>LOOKUP(B52,Rates!$A$5:$B$168)</f>
        <v>4317.8862508652874</v>
      </c>
      <c r="W52" s="56">
        <f t="shared" si="8"/>
        <v>38.860976257787584</v>
      </c>
      <c r="X52" s="57">
        <f t="shared" si="24"/>
        <v>877.32853897410928</v>
      </c>
      <c r="Y52" s="426">
        <f t="shared" si="25"/>
        <v>35.580534883131023</v>
      </c>
      <c r="Z52" s="426">
        <f t="shared" si="25"/>
        <v>799.21039185953884</v>
      </c>
      <c r="AA52" s="425">
        <f>IF(SUM(AA$11:AA51)&gt;0,0,IF(SUM(X52-R52)&gt;0,B52,0))</f>
        <v>0</v>
      </c>
      <c r="AB52" s="427">
        <f>ABS(Z52)*1000000/SUM(U$11:U52)</f>
        <v>2065.1431314199967</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2'!A53, MP_new!$A$4:$A$9, 0), 10), T51), 0)</f>
        <v>9000</v>
      </c>
      <c r="U53" s="2">
        <f>('NPV Summary'!$B$15-S53)+T53</f>
        <v>9000</v>
      </c>
      <c r="V53" s="2">
        <f>LOOKUP(B53,Rates!$A$5:$B$168)</f>
        <v>4473.3301558964376</v>
      </c>
      <c r="W53" s="58">
        <f t="shared" si="8"/>
        <v>40.259971403067937</v>
      </c>
      <c r="X53" s="59">
        <f>X52+W53</f>
        <v>917.58851037717727</v>
      </c>
      <c r="Y53" s="12">
        <f>W53-Q53</f>
        <v>36.848312373425117</v>
      </c>
      <c r="Z53" s="12">
        <f>X53-R53</f>
        <v>836.05870423296403</v>
      </c>
      <c r="AA53" s="425">
        <f>IF(SUM(AA$11:AA52)&gt;0,0,IF(SUM(X53-R53)&gt;0,B53,0))</f>
        <v>0</v>
      </c>
      <c r="AB53" s="133">
        <f>ABS(Z53)*1000000/SUM(U$11:U53)</f>
        <v>2111.2593541236465</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353.28998207932091</v>
      </c>
      <c r="X54" s="47" t="s">
        <v>30</v>
      </c>
      <c r="Y54" s="48">
        <f>IFERROR(IRR(Y11:Y53), 0)</f>
        <v>0</v>
      </c>
      <c r="AA54" s="430" t="s">
        <v>508</v>
      </c>
      <c r="AB54" s="431">
        <f>R53*1000000/SUM(U$11:U53)</f>
        <v>205.88334884902346</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3</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NPV=$367.736)</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3'!A11,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3'!A12,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3'!A13,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3'!A14,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3'!A15,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3'!A16,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3'!A17,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3'!A18,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3'!A19,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3'!A20,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0</v>
      </c>
      <c r="T21" s="493">
        <f>IF(EXACT($Q$5, "Yes"), IF(NOT(EXACT(A21, "MP Complete")), INDEX(MP_new!$A$4:$J$9, MATCH('Steps 1 thru 3'!A21, MP_new!$A$4:$A$9, 0), 10), T19), 0)</f>
        <v>9000</v>
      </c>
      <c r="U21" s="2">
        <f>('NPV Summary'!$B$15-S21)+T21</f>
        <v>9000</v>
      </c>
      <c r="V21" s="2">
        <f>LOOKUP(B21,Rates!$A$5:$B$168)</f>
        <v>1442.509824</v>
      </c>
      <c r="W21" s="58">
        <f t="shared" si="8"/>
        <v>12.982588415999999</v>
      </c>
      <c r="X21" s="59">
        <f t="shared" si="24"/>
        <v>152.76796441600001</v>
      </c>
      <c r="Y21" s="12">
        <f t="shared" si="25"/>
        <v>12.010067920808646</v>
      </c>
      <c r="Z21" s="12">
        <f t="shared" si="25"/>
        <v>134.65576016752485</v>
      </c>
      <c r="AA21" s="425">
        <f>IF(SUM(AA$11:AA20)&gt;0,0,IF(SUM(X21-R21)&gt;0,B21,0))</f>
        <v>0</v>
      </c>
      <c r="AB21" s="133">
        <f>ABS(Z21)*1000000/SUM(U$11:U21)</f>
        <v>1094.7622777847548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0</v>
      </c>
      <c r="T22" s="493">
        <f>IF(EXACT($Q$5, "Yes"), IF(NOT(EXACT(A22, "MP Complete")), INDEX(MP_new!$A$4:$J$9, MATCH('Steps 1 thru 3'!A22, MP_new!$A$4:$A$9, 0), 10), T20), 0)</f>
        <v>9000</v>
      </c>
      <c r="U22" s="65">
        <f>('NPV Summary'!$B$15-S22)+T22</f>
        <v>9000</v>
      </c>
      <c r="V22" s="65">
        <f>LOOKUP(B22,Rates!$A$5:$B$168)</f>
        <v>1494.440177664</v>
      </c>
      <c r="W22" s="56">
        <f t="shared" si="8"/>
        <v>13.449961598976</v>
      </c>
      <c r="X22" s="57">
        <f t="shared" si="24"/>
        <v>166.217926014976</v>
      </c>
      <c r="Y22" s="426">
        <f t="shared" si="25"/>
        <v>12.438540283976993</v>
      </c>
      <c r="Z22" s="426">
        <f t="shared" si="25"/>
        <v>147.09430045150185</v>
      </c>
      <c r="AA22" s="425">
        <f>IF(SUM(AA$11:AA21)&gt;0,0,IF(SUM(X22-R22)&gt;0,B22,0))</f>
        <v>0</v>
      </c>
      <c r="AB22" s="427">
        <f>ABS(Z22)*1000000/SUM(U$11:U22)</f>
        <v>1114.3507609962262</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0</v>
      </c>
      <c r="T23" s="493">
        <f>IF(EXACT($Q$5, "Yes"), IF(NOT(EXACT(A23, "MP Complete")), INDEX(MP_new!$A$4:$J$9, MATCH('Steps 1 thru 3'!A23, MP_new!$A$4:$A$9, 0), 10), T21), 0)</f>
        <v>9000</v>
      </c>
      <c r="U23" s="2">
        <f>('NPV Summary'!$B$15-S23)+T23</f>
        <v>9000</v>
      </c>
      <c r="V23" s="2">
        <f>LOOKUP(B23,Rates!$A$5:$B$168)</f>
        <v>1548.240024059904</v>
      </c>
      <c r="W23" s="58">
        <f t="shared" si="8"/>
        <v>13.934160216539137</v>
      </c>
      <c r="X23" s="59">
        <f t="shared" si="24"/>
        <v>180.15208623151514</v>
      </c>
      <c r="Y23" s="12">
        <f t="shared" si="25"/>
        <v>12.882282048940169</v>
      </c>
      <c r="Z23" s="12">
        <f t="shared" si="25"/>
        <v>159.97658250044202</v>
      </c>
      <c r="AA23" s="425">
        <f>IF(SUM(AA$11:AA22)&gt;0,0,IF(SUM(X23-R23)&gt;0,B23,0))</f>
        <v>0</v>
      </c>
      <c r="AB23" s="133">
        <f>ABS(Z23)*1000000/SUM(U$11:U23)</f>
        <v>1134.5856914924966</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3'!A24, MP_new!$A$4:$A$9, 0), 10), T22), 0)</f>
        <v>9000</v>
      </c>
      <c r="U24" s="65">
        <f>('NPV Summary'!$B$15-S24)+T24</f>
        <v>9000</v>
      </c>
      <c r="V24" s="65">
        <f>LOOKUP(B24,Rates!$A$5:$B$168)</f>
        <v>1603.9766649260607</v>
      </c>
      <c r="W24" s="56">
        <f t="shared" si="8"/>
        <v>14.435789984334548</v>
      </c>
      <c r="X24" s="57">
        <f t="shared" si="24"/>
        <v>194.58787621584969</v>
      </c>
      <c r="Y24" s="426">
        <f t="shared" si="25"/>
        <v>13.341836690031622</v>
      </c>
      <c r="Z24" s="426">
        <f t="shared" si="25"/>
        <v>173.31841919047363</v>
      </c>
      <c r="AA24" s="425">
        <f>IF(SUM(AA$11:AA23)&gt;0,0,IF(SUM(X24-R24)&gt;0,B24,0))</f>
        <v>0</v>
      </c>
      <c r="AB24" s="427">
        <f>ABS(Z24)*1000000/SUM(U$11:U24)</f>
        <v>1155.4561279364909</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3'!A25, MP_new!$A$4:$A$9, 0), 10), T23), 0)</f>
        <v>9000</v>
      </c>
      <c r="U25" s="2">
        <f>('NPV Summary'!$B$15-S25)+T25</f>
        <v>9000</v>
      </c>
      <c r="V25" s="2">
        <f>LOOKUP(B25,Rates!$A$5:$B$168)</f>
        <v>1661.719824863399</v>
      </c>
      <c r="W25" s="58">
        <f t="shared" si="8"/>
        <v>14.955478423770591</v>
      </c>
      <c r="X25" s="59">
        <f t="shared" si="24"/>
        <v>209.54335463962028</v>
      </c>
      <c r="Y25" s="12">
        <f t="shared" si="25"/>
        <v>13.817766997695548</v>
      </c>
      <c r="Z25" s="12">
        <f t="shared" si="25"/>
        <v>187.13618618816918</v>
      </c>
      <c r="AA25" s="425">
        <f>IF(SUM(AA$11:AA24)&gt;0,0,IF(SUM(X25-R25)&gt;0,B25,0))</f>
        <v>0</v>
      </c>
      <c r="AB25" s="133">
        <f>ABS(Z25)*1000000/SUM(U$11:U25)</f>
        <v>1176.9571458375419</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3'!A26, MP_new!$A$4:$A$9, 0), 10), T24), 0)</f>
        <v>9000</v>
      </c>
      <c r="U26" s="65">
        <f>('NPV Summary'!$B$15-S26)+T26</f>
        <v>9000</v>
      </c>
      <c r="V26" s="65">
        <f>LOOKUP(B26,Rates!$A$5:$B$168)</f>
        <v>1721.5417385584815</v>
      </c>
      <c r="W26" s="56">
        <f t="shared" si="8"/>
        <v>15.493875647026334</v>
      </c>
      <c r="X26" s="57">
        <f t="shared" si="24"/>
        <v>225.0372302866466</v>
      </c>
      <c r="Y26" s="426">
        <f t="shared" si="25"/>
        <v>14.31065576390829</v>
      </c>
      <c r="Z26" s="426">
        <f t="shared" si="25"/>
        <v>201.44684195207748</v>
      </c>
      <c r="AA26" s="425">
        <f>IF(SUM(AA$11:AA25)&gt;0,0,IF(SUM(X26-R26)&gt;0,B26,0))</f>
        <v>0</v>
      </c>
      <c r="AB26" s="427">
        <f>ABS(Z26)*1000000/SUM(U$11:U26)</f>
        <v>1199.0883449528421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3'!A27, MP_new!$A$4:$A$9, 0), 10), T25), 0)</f>
        <v>9000</v>
      </c>
      <c r="U27" s="2">
        <f>('NPV Summary'!$B$15-S27)+T27</f>
        <v>9000</v>
      </c>
      <c r="V27" s="2">
        <f>LOOKUP(B27,Rates!$A$5:$B$168)</f>
        <v>1783.5172411465869</v>
      </c>
      <c r="W27" s="58">
        <f t="shared" si="8"/>
        <v>16.051655170319282</v>
      </c>
      <c r="X27" s="59">
        <f t="shared" si="24"/>
        <v>241.0888854569659</v>
      </c>
      <c r="Y27" s="12">
        <f t="shared" si="25"/>
        <v>14.821106491876517</v>
      </c>
      <c r="Z27" s="12">
        <f t="shared" si="25"/>
        <v>216.267948443954</v>
      </c>
      <c r="AA27" s="425">
        <f>IF(SUM(AA$11:AA26)&gt;0,0,IF(SUM(X27-R27)&gt;0,B27,0))</f>
        <v>0</v>
      </c>
      <c r="AB27" s="133">
        <f>ABS(Z27)*1000000/SUM(U$11:U27)</f>
        <v>1221.8528160675367</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3'!A28, MP_new!$A$4:$A$9, 0), 10), T26), 0)</f>
        <v>9000</v>
      </c>
      <c r="U28" s="65">
        <f>('NPV Summary'!$B$15-S28)+T28</f>
        <v>9000</v>
      </c>
      <c r="V28" s="65">
        <f>LOOKUP(B28,Rates!$A$5:$B$168)</f>
        <v>1847.7238618278641</v>
      </c>
      <c r="W28" s="56">
        <f t="shared" si="8"/>
        <v>16.629514756450774</v>
      </c>
      <c r="X28" s="57">
        <f t="shared" si="24"/>
        <v>257.71840021341666</v>
      </c>
      <c r="Y28" s="426">
        <f t="shared" si="25"/>
        <v>15.349744130870297</v>
      </c>
      <c r="Z28" s="426">
        <f t="shared" si="25"/>
        <v>231.61769257482428</v>
      </c>
      <c r="AA28" s="425">
        <f>IF(SUM(AA$11:AA27)&gt;0,0,IF(SUM(X28-R28)&gt;0,B28,0))</f>
        <v>0</v>
      </c>
      <c r="AB28" s="427">
        <f>ABS(Z28)*1000000/SUM(U$11:U28)</f>
        <v>1245.2564116926037</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3'!A29, MP_new!$A$4:$A$9, 0), 10), T27), 0)</f>
        <v>9000</v>
      </c>
      <c r="U29" s="2">
        <f>('NPV Summary'!$B$15-S29)+T29</f>
        <v>9000</v>
      </c>
      <c r="V29" s="2">
        <f>LOOKUP(B29,Rates!$A$5:$B$168)</f>
        <v>1914.2419208536674</v>
      </c>
      <c r="W29" s="58">
        <f t="shared" si="8"/>
        <v>17.228177287683007</v>
      </c>
      <c r="X29" s="59">
        <f t="shared" si="24"/>
        <v>274.94657750109968</v>
      </c>
      <c r="Y29" s="12">
        <f t="shared" si="25"/>
        <v>15.89721583707931</v>
      </c>
      <c r="Z29" s="12">
        <f t="shared" si="25"/>
        <v>247.5149084119036</v>
      </c>
      <c r="AA29" s="425">
        <f>IF(SUM(AA$11:AA28)&gt;0,0,IF(SUM(X29-R29)&gt;0,B29,0))</f>
        <v>0</v>
      </c>
      <c r="AB29" s="133">
        <f>ABS(Z29)*1000000/SUM(U$11:U29)</f>
        <v>1269.3072226251466</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3'!A30, MP_new!$A$4:$A$9, 0), 10), T28), 0)</f>
        <v>9000</v>
      </c>
      <c r="U30" s="65">
        <f>('NPV Summary'!$B$15-S30)+T30</f>
        <v>9000</v>
      </c>
      <c r="V30" s="65">
        <f>LOOKUP(B30,Rates!$A$5:$B$168)</f>
        <v>1983.1546300043995</v>
      </c>
      <c r="W30" s="56">
        <f t="shared" si="8"/>
        <v>17.848391670039593</v>
      </c>
      <c r="X30" s="57">
        <f t="shared" si="24"/>
        <v>292.79496917113926</v>
      </c>
      <c r="Y30" s="426">
        <f t="shared" si="25"/>
        <v>16.464191761411747</v>
      </c>
      <c r="Z30" s="426">
        <f t="shared" si="25"/>
        <v>263.97910017331532</v>
      </c>
      <c r="AA30" s="425">
        <f>IF(SUM(AA$11:AA29)&gt;0,0,IF(SUM(X30-R30)&gt;0,B30,0))</f>
        <v>0</v>
      </c>
      <c r="AB30" s="427">
        <f>ABS(Z30)*1000000/SUM(U$11:U30)</f>
        <v>1294.0151969280162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3'!A31, MP_new!$A$4:$A$9, 0), 10), T29), 0)</f>
        <v>9000</v>
      </c>
      <c r="U31" s="2">
        <f>('NPV Summary'!$B$15-S31)+T31</f>
        <v>9000</v>
      </c>
      <c r="V31" s="2">
        <f>LOOKUP(B31,Rates!$A$5:$B$168)</f>
        <v>2054.5481966845578</v>
      </c>
      <c r="W31" s="58">
        <f t="shared" si="8"/>
        <v>18.490933770161021</v>
      </c>
      <c r="X31" s="59">
        <f t="shared" si="24"/>
        <v>311.28590294130026</v>
      </c>
      <c r="Y31" s="12">
        <f t="shared" si="25"/>
        <v>17.051365865188064</v>
      </c>
      <c r="Z31" s="12">
        <f t="shared" si="25"/>
        <v>281.03046603850339</v>
      </c>
      <c r="AA31" s="425">
        <f>IF(SUM(AA$11:AA30)&gt;0,0,IF(SUM(X31-R31)&gt;0,B31,0))</f>
        <v>0</v>
      </c>
      <c r="AB31" s="133">
        <f>ABS(Z31)*1000000/SUM(U$11:U31)</f>
        <v>1319.3918593356968</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3'!A32, MP_new!$A$4:$A$9, 0), 10), T30), 0)</f>
        <v>9000</v>
      </c>
      <c r="U32" s="65">
        <f>('NPV Summary'!$B$15-S32)+T32</f>
        <v>9000</v>
      </c>
      <c r="V32" s="65">
        <f>LOOKUP(B32,Rates!$A$5:$B$168)</f>
        <v>2128.511931765202</v>
      </c>
      <c r="W32" s="56">
        <f t="shared" si="8"/>
        <v>19.156607385886819</v>
      </c>
      <c r="X32" s="57">
        <f t="shared" si="24"/>
        <v>330.44251032718711</v>
      </c>
      <c r="Y32" s="426">
        <f t="shared" si="25"/>
        <v>17.659456764714943</v>
      </c>
      <c r="Z32" s="426">
        <f t="shared" si="25"/>
        <v>298.68992280321834</v>
      </c>
      <c r="AA32" s="425">
        <f>IF(SUM(AA$11:AA31)&gt;0,0,IF(SUM(X32-R32)&gt;0,B32,0))</f>
        <v>0</v>
      </c>
      <c r="AB32" s="427">
        <f>ABS(Z32)*1000000/SUM(U$11:U32)</f>
        <v>1345.4501027171998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3'!A33, MP_new!$A$4:$A$9, 0), 10), T31), 0)</f>
        <v>9000</v>
      </c>
      <c r="U33" s="2">
        <f>('NPV Summary'!$B$15-S33)+T33</f>
        <v>9000</v>
      </c>
      <c r="V33" s="2">
        <f>LOOKUP(B33,Rates!$A$5:$B$168)</f>
        <v>2205.1383613087492</v>
      </c>
      <c r="W33" s="58">
        <f t="shared" si="8"/>
        <v>19.846245251778743</v>
      </c>
      <c r="X33" s="59">
        <f t="shared" si="24"/>
        <v>350.28875557896583</v>
      </c>
      <c r="Y33" s="12">
        <f t="shared" si="25"/>
        <v>18.289208605759992</v>
      </c>
      <c r="Z33" s="12">
        <f t="shared" si="25"/>
        <v>316.97913140897833</v>
      </c>
      <c r="AA33" s="425">
        <f>IF(SUM(AA$11:AA32)&gt;0,0,IF(SUM(X33-R33)&gt;0,B33,0))</f>
        <v>0</v>
      </c>
      <c r="AB33" s="133">
        <f>ABS(Z33)*1000000/SUM(U$11:U33)</f>
        <v>1372.2040320734993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3'!A34, MP_new!$A$4:$A$9, 0), 10), T32), 0)</f>
        <v>9000</v>
      </c>
      <c r="U34" s="65">
        <f>('NPV Summary'!$B$15-S34)+T34</f>
        <v>9000</v>
      </c>
      <c r="V34" s="65">
        <f>LOOKUP(B34,Rates!$A$5:$B$168)</f>
        <v>2284.5233423158643</v>
      </c>
      <c r="W34" s="56">
        <f t="shared" si="8"/>
        <v>20.560710080842778</v>
      </c>
      <c r="X34" s="57">
        <f t="shared" si="24"/>
        <v>370.84946565980863</v>
      </c>
      <c r="Y34" s="426">
        <f t="shared" si="25"/>
        <v>18.941391968983275</v>
      </c>
      <c r="Z34" s="426">
        <f t="shared" si="25"/>
        <v>335.92052337796162</v>
      </c>
      <c r="AA34" s="425">
        <f>IF(SUM(AA$11:AA33)&gt;0,0,IF(SUM(X34-R34)&gt;0,B34,0))</f>
        <v>0</v>
      </c>
      <c r="AB34" s="427">
        <f>ABS(Z34)*1000000/SUM(U$11:U34)</f>
        <v>1399.6688474081734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3'!A35, MP_new!$A$4:$A$9, 0), 10), T33), 0)</f>
        <v>9000</v>
      </c>
      <c r="U35" s="2">
        <f>('NPV Summary'!$B$15-S35)+T35</f>
        <v>9000</v>
      </c>
      <c r="V35" s="2">
        <f>LOOKUP(B35,Rates!$A$5:$B$168)</f>
        <v>2366.7661826392355</v>
      </c>
      <c r="W35" s="58">
        <f t="shared" si="8"/>
        <v>21.300895643753119</v>
      </c>
      <c r="X35" s="59">
        <f t="shared" si="24"/>
        <v>392.15036130356174</v>
      </c>
      <c r="Y35" s="12">
        <f t="shared" si="25"/>
        <v>19.616804807419236</v>
      </c>
      <c r="Z35" s="12">
        <f t="shared" si="25"/>
        <v>355.53732818538083</v>
      </c>
      <c r="AA35" s="425">
        <f>IF(SUM(AA$11:AA34)&gt;0,0,IF(SUM(X35-R35)&gt;0,B35,0))</f>
        <v>0</v>
      </c>
      <c r="AB35" s="133">
        <f>ABS(Z35)*1000000/SUM(U$11:U35)</f>
        <v>1427.8607557645817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3'!A36, MP_new!$A$4:$A$9, 0), 10), T34), 0)</f>
        <v>9000</v>
      </c>
      <c r="U36" s="65">
        <f>('NPV Summary'!$B$15-S36)+T36</f>
        <v>9000</v>
      </c>
      <c r="V36" s="65">
        <f>LOOKUP(B36,Rates!$A$5:$B$168)</f>
        <v>2451.9697652142481</v>
      </c>
      <c r="W36" s="56">
        <f t="shared" si="8"/>
        <v>22.067727886928235</v>
      </c>
      <c r="X36" s="57">
        <f t="shared" si="24"/>
        <v>414.21808919048999</v>
      </c>
      <c r="Y36" s="426">
        <f t="shared" si="25"/>
        <v>20.316273417140998</v>
      </c>
      <c r="Z36" s="426">
        <f t="shared" si="25"/>
        <v>375.85360160252185</v>
      </c>
      <c r="AA36" s="425">
        <f>IF(SUM(AA$11:AA35)&gt;0,0,IF(SUM(X36-R36)&gt;0,B36,0))</f>
        <v>0</v>
      </c>
      <c r="AB36" s="427">
        <f>ABS(Z36)*1000000/SUM(U$11:U36)</f>
        <v>1456.7969054361311</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3'!A37, MP_new!$A$4:$A$9, 0), 10), T35), 0)</f>
        <v>9000</v>
      </c>
      <c r="U37" s="2">
        <f>('NPV Summary'!$B$15-S37)+T37</f>
        <v>9000</v>
      </c>
      <c r="V37" s="2">
        <f>LOOKUP(B37,Rates!$A$5:$B$168)</f>
        <v>2540.2406767619609</v>
      </c>
      <c r="W37" s="58">
        <f t="shared" si="8"/>
        <v>22.862166090857649</v>
      </c>
      <c r="X37" s="59">
        <f t="shared" si="24"/>
        <v>437.08025528134766</v>
      </c>
      <c r="Y37" s="12">
        <f t="shared" si="25"/>
        <v>21.040653442278924</v>
      </c>
      <c r="Z37" s="12">
        <f t="shared" si="25"/>
        <v>396.89425504480084</v>
      </c>
      <c r="AA37" s="425">
        <f>IF(SUM(AA$11:AA36)&gt;0,0,IF(SUM(X37-R37)&gt;0,B37,0))</f>
        <v>0</v>
      </c>
      <c r="AB37" s="133">
        <f>ABS(Z37)*1000000/SUM(U$11:U37)</f>
        <v>1486.4953372464449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3'!A38, MP_new!$A$4:$A$9, 0), 10), T36), 0)</f>
        <v>9000</v>
      </c>
      <c r="U38" s="65">
        <f>('NPV Summary'!$B$15-S38)+T38</f>
        <v>9000</v>
      </c>
      <c r="V38" s="65">
        <f>LOOKUP(B38,Rates!$A$5:$B$168)</f>
        <v>2631.6893411253914</v>
      </c>
      <c r="W38" s="56">
        <f t="shared" si="8"/>
        <v>23.685204070128524</v>
      </c>
      <c r="X38" s="57">
        <f t="shared" si="24"/>
        <v>460.76545935147618</v>
      </c>
      <c r="Y38" s="426">
        <f t="shared" si="25"/>
        <v>21.790830915606648</v>
      </c>
      <c r="Z38" s="426">
        <f t="shared" si="25"/>
        <v>418.68508596040749</v>
      </c>
      <c r="AA38" s="425">
        <f>IF(SUM(AA$11:AA37)&gt;0,0,IF(SUM(X38-R38)&gt;0,B38,0))</f>
        <v>0</v>
      </c>
      <c r="AB38" s="427">
        <f>ABS(Z38)*1000000/SUM(U$11:U38)</f>
        <v>1516.9749491319112</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3'!A39, MP_new!$A$4:$A$9, 0), 10), T37), 0)</f>
        <v>9000</v>
      </c>
      <c r="U39" s="2">
        <f>('NPV Summary'!$B$15-S39)+T39</f>
        <v>9000</v>
      </c>
      <c r="V39" s="2">
        <f>LOOKUP(B39,Rates!$A$5:$B$168)</f>
        <v>2726.4301574059054</v>
      </c>
      <c r="W39" s="58">
        <f t="shared" si="8"/>
        <v>24.53787141665315</v>
      </c>
      <c r="X39" s="59">
        <f t="shared" si="24"/>
        <v>485.30333076812934</v>
      </c>
      <c r="Y39" s="12">
        <f t="shared" si="25"/>
        <v>22.567723335950397</v>
      </c>
      <c r="Z39" s="12">
        <f t="shared" si="25"/>
        <v>441.2528092963579</v>
      </c>
      <c r="AA39" s="425">
        <f>IF(SUM(AA$11:AA38)&gt;0,0,IF(SUM(X39-R39)&gt;0,B39,0))</f>
        <v>0</v>
      </c>
      <c r="AB39" s="133">
        <f>ABS(Z39)*1000000/SUM(U$11:U39)</f>
        <v>1548.2554712152908</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3'!A40, MP_new!$A$4:$A$9, 0), 10), T38), 0)</f>
        <v>9000</v>
      </c>
      <c r="U40" s="65">
        <f>('NPV Summary'!$B$15-S40)+T40</f>
        <v>9000</v>
      </c>
      <c r="V40" s="65">
        <f>LOOKUP(B40,Rates!$A$5:$B$168)</f>
        <v>2824.5816430725181</v>
      </c>
      <c r="W40" s="56">
        <f t="shared" si="8"/>
        <v>25.421234787652665</v>
      </c>
      <c r="X40" s="57">
        <f t="shared" si="24"/>
        <v>510.72456555578202</v>
      </c>
      <c r="Y40" s="426">
        <f t="shared" si="25"/>
        <v>23.372280783721806</v>
      </c>
      <c r="Z40" s="426">
        <f t="shared" si="25"/>
        <v>464.6250900800797</v>
      </c>
      <c r="AA40" s="425">
        <f>IF(SUM(AA$11:AA39)&gt;0,0,IF(SUM(X40-R40)&gt;0,B40,0))</f>
        <v>0</v>
      </c>
      <c r="AB40" s="427">
        <f>ABS(Z40)*1000000/SUM(U$11:U40)</f>
        <v>1580.3574492519717</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3'!A41, MP_new!$A$4:$A$9, 0), 10), T39), 0)</f>
        <v>9000</v>
      </c>
      <c r="U41" s="2">
        <f>('NPV Summary'!$B$15-S41)+T41</f>
        <v>9000</v>
      </c>
      <c r="V41" s="2">
        <f>LOOKUP(B41,Rates!$A$5:$B$168)</f>
        <v>2926.2665822231288</v>
      </c>
      <c r="W41" s="58">
        <f t="shared" si="8"/>
        <v>26.336399240008159</v>
      </c>
      <c r="X41" s="59">
        <f t="shared" si="24"/>
        <v>537.06096479579014</v>
      </c>
      <c r="Y41" s="12">
        <f t="shared" si="25"/>
        <v>24.205487075920065</v>
      </c>
      <c r="Z41" s="12">
        <f t="shared" si="25"/>
        <v>488.83057715599972</v>
      </c>
      <c r="AA41" s="425">
        <f>IF(SUM(AA$11:AA40)&gt;0,0,IF(SUM(X41-R41)&gt;0,B41,0))</f>
        <v>0</v>
      </c>
      <c r="AB41" s="133">
        <f>ABS(Z41)*1000000/SUM(U$11:U41)</f>
        <v>1613.3022348382829</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3'!A42, MP_new!$A$4:$A$9, 0), 10), T40), 0)</f>
        <v>9000</v>
      </c>
      <c r="U42" s="65">
        <f>('NPV Summary'!$B$15-S42)+T42</f>
        <v>9000</v>
      </c>
      <c r="V42" s="65">
        <f>LOOKUP(B42,Rates!$A$5:$B$168)</f>
        <v>3031.6121791831615</v>
      </c>
      <c r="W42" s="56">
        <f t="shared" si="8"/>
        <v>27.284509612648453</v>
      </c>
      <c r="X42" s="57">
        <f t="shared" si="24"/>
        <v>564.34547440843858</v>
      </c>
      <c r="Y42" s="426">
        <f t="shared" si="25"/>
        <v>25.068360961996834</v>
      </c>
      <c r="Z42" s="426">
        <f t="shared" si="25"/>
        <v>513.89893811799652</v>
      </c>
      <c r="AA42" s="425">
        <f>IF(SUM(AA$11:AA41)&gt;0,0,IF(SUM(X42-R42)&gt;0,B42,0))</f>
        <v>0</v>
      </c>
      <c r="AB42" s="427">
        <f>ABS(Z42)*1000000/SUM(U$11:U42)</f>
        <v>1647.1119811474248</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3'!A43, MP_new!$A$4:$A$9, 0), 10), T41), 0)</f>
        <v>9000</v>
      </c>
      <c r="U43" s="2">
        <f>('NPV Summary'!$B$15-S43)+T43</f>
        <v>9000</v>
      </c>
      <c r="V43" s="2">
        <f>LOOKUP(B43,Rates!$A$5:$B$168)</f>
        <v>3140.7502176337553</v>
      </c>
      <c r="W43" s="58">
        <f t="shared" si="8"/>
        <v>28.266751958703797</v>
      </c>
      <c r="X43" s="59">
        <f t="shared" si="24"/>
        <v>592.6122263671424</v>
      </c>
      <c r="Y43" s="12">
        <f t="shared" si="25"/>
        <v>25.961957362026112</v>
      </c>
      <c r="Z43" s="12">
        <f t="shared" si="25"/>
        <v>539.86089548002269</v>
      </c>
      <c r="AA43" s="425">
        <f>IF(SUM(AA$11:AA42)&gt;0,0,IF(SUM(X43-R43)&gt;0,B43,0))</f>
        <v>0</v>
      </c>
      <c r="AB43" s="133">
        <f>ABS(Z43)*1000000/SUM(U$11:U43)</f>
        <v>1681.8096432399459</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3'!A44, MP_new!$A$4:$A$9, 0), 10), T42), 0)</f>
        <v>9000</v>
      </c>
      <c r="U44" s="65">
        <f>('NPV Summary'!$B$15-S44)+T44</f>
        <v>9000</v>
      </c>
      <c r="V44" s="65">
        <f>LOOKUP(B44,Rates!$A$5:$B$168)</f>
        <v>3253.8172254685705</v>
      </c>
      <c r="W44" s="56">
        <f t="shared" si="8"/>
        <v>29.284355029217135</v>
      </c>
      <c r="X44" s="57">
        <f t="shared" si="24"/>
        <v>621.89658139635958</v>
      </c>
      <c r="Y44" s="426">
        <f t="shared" si="25"/>
        <v>26.887368648672343</v>
      </c>
      <c r="Z44" s="426">
        <f t="shared" si="25"/>
        <v>566.74826412869504</v>
      </c>
      <c r="AA44" s="425">
        <f>IF(SUM(AA$11:AA43)&gt;0,0,IF(SUM(X44-R44)&gt;0,B44,0))</f>
        <v>0</v>
      </c>
      <c r="AB44" s="427">
        <f>ABS(Z44)*1000000/SUM(U$11:U44)</f>
        <v>1717.4189822081667</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3'!A45, MP_new!$A$4:$A$9, 0), 10), T43), 0)</f>
        <v>9000</v>
      </c>
      <c r="U45" s="2">
        <f>('NPV Summary'!$B$15-S45)+T45</f>
        <v>9000</v>
      </c>
      <c r="V45" s="2">
        <f>LOOKUP(B45,Rates!$A$5:$B$168)</f>
        <v>3370.9546455854393</v>
      </c>
      <c r="W45" s="58">
        <f t="shared" si="8"/>
        <v>30.338591810268955</v>
      </c>
      <c r="X45" s="59">
        <f t="shared" si="24"/>
        <v>652.23517320662859</v>
      </c>
      <c r="Y45" s="12">
        <f t="shared" si="25"/>
        <v>27.845725974502372</v>
      </c>
      <c r="Z45" s="12">
        <f t="shared" si="25"/>
        <v>594.59399010319748</v>
      </c>
      <c r="AA45" s="425">
        <f>IF(SUM(AA$11:AA44)&gt;0,0,IF(SUM(X45-R45)&gt;0,B45,0))</f>
        <v>0</v>
      </c>
      <c r="AB45" s="133">
        <f>ABS(Z45)*1000000/SUM(U$11:U45)</f>
        <v>1753.9645725758037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3'!A46, MP_new!$A$4:$A$9, 0), 10), T44), 0)</f>
        <v>9000</v>
      </c>
      <c r="U46" s="65">
        <f>('NPV Summary'!$B$15-S46)+T46</f>
        <v>9000</v>
      </c>
      <c r="V46" s="65">
        <f>LOOKUP(B46,Rates!$A$5:$B$168)</f>
        <v>3492.3090128265153</v>
      </c>
      <c r="W46" s="56">
        <f t="shared" si="8"/>
        <v>31.430781115438638</v>
      </c>
      <c r="X46" s="57">
        <f t="shared" si="24"/>
        <v>683.66595432206725</v>
      </c>
      <c r="Y46" s="426">
        <f t="shared" si="25"/>
        <v>28.83820064624139</v>
      </c>
      <c r="Z46" s="426">
        <f t="shared" si="25"/>
        <v>623.43219074943886</v>
      </c>
      <c r="AA46" s="425">
        <f>IF(SUM(AA$11:AA45)&gt;0,0,IF(SUM(X46-R46)&gt;0,B46,0))</f>
        <v>0</v>
      </c>
      <c r="AB46" s="427">
        <f>ABS(Z46)*1000000/SUM(U$11:U46)</f>
        <v>1791.4718124983876</v>
      </c>
      <c r="AC46">
        <f>R46*1000000/SUM(U$11:U46)</f>
        <v>173.08552750755271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3'!A47, MP_new!$A$4:$A$9, 0), 10), T45), 0)</f>
        <v>9000</v>
      </c>
      <c r="U47" s="2">
        <f>('NPV Summary'!$B$15-S47)+T47</f>
        <v>9000</v>
      </c>
      <c r="V47" s="2">
        <f>LOOKUP(B47,Rates!$A$5:$B$168)</f>
        <v>3618.03213728827</v>
      </c>
      <c r="W47" s="58">
        <f t="shared" si="8"/>
        <v>32.562289235594427</v>
      </c>
      <c r="X47" s="59">
        <f t="shared" si="24"/>
        <v>716.2282435576617</v>
      </c>
      <c r="Y47" s="12">
        <f t="shared" si="25"/>
        <v>29.866005547629292</v>
      </c>
      <c r="Z47" s="12">
        <f t="shared" si="25"/>
        <v>653.29819629706822</v>
      </c>
      <c r="AA47" s="425">
        <f>IF(SUM(AA$11:AA46)&gt;0,0,IF(SUM(X47-R47)&gt;0,B47,0))</f>
        <v>0</v>
      </c>
      <c r="AB47" s="133">
        <f>ABS(Z47)*1000000/SUM(U$11:U47)</f>
        <v>1829.9669364063536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3'!A48, MP_new!$A$4:$A$9, 0), 10), T46), 0)</f>
        <v>9000</v>
      </c>
      <c r="U48" s="65">
        <f>('NPV Summary'!$B$15-S48)+T48</f>
        <v>9000</v>
      </c>
      <c r="V48" s="65">
        <f>LOOKUP(B48,Rates!$A$5:$B$168)</f>
        <v>3748.2812942306477</v>
      </c>
      <c r="W48" s="56">
        <f t="shared" si="8"/>
        <v>33.73453164807583</v>
      </c>
      <c r="X48" s="57">
        <f t="shared" si="24"/>
        <v>749.96277520573756</v>
      </c>
      <c r="Y48" s="426">
        <f t="shared" si="25"/>
        <v>30.930396612592087</v>
      </c>
      <c r="Z48" s="426">
        <f t="shared" si="25"/>
        <v>684.22859290966039</v>
      </c>
      <c r="AA48" s="425">
        <f>IF(SUM(AA$11:AA47)&gt;0,0,IF(SUM(X48-R48)&gt;0,B48,0))</f>
        <v>0</v>
      </c>
      <c r="AB48" s="427">
        <f>ABS(Z48)*1000000/SUM(U$11:U48)</f>
        <v>1869.4770298078151</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3'!A49, MP_new!$A$4:$A$9, 0), 10), T47), 0)</f>
        <v>9000</v>
      </c>
      <c r="U49" s="2">
        <f>('NPV Summary'!$B$15-S49)+T49</f>
        <v>9000</v>
      </c>
      <c r="V49" s="2">
        <f>LOOKUP(B49,Rates!$A$5:$B$168)</f>
        <v>3883.2194208229512</v>
      </c>
      <c r="W49" s="58">
        <f t="shared" si="8"/>
        <v>34.948974787406563</v>
      </c>
      <c r="X49" s="59">
        <f>X48+W49</f>
        <v>784.9117499931441</v>
      </c>
      <c r="Y49" s="12">
        <f t="shared" si="25"/>
        <v>32.03267435050347</v>
      </c>
      <c r="Z49" s="12">
        <f t="shared" si="25"/>
        <v>716.26126726016378</v>
      </c>
      <c r="AA49" s="425">
        <f>IF(SUM(AA$11:AA48)&gt;0,0,IF(SUM(X49-R49)&gt;0,B49,0))</f>
        <v>0</v>
      </c>
      <c r="AB49" s="133">
        <f>ABS(Z49)*1000000/SUM(U$11:U49)</f>
        <v>1910.0300460271035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3'!A50, MP_new!$A$4:$A$9, 0), 10), T48), 0)</f>
        <v>9000</v>
      </c>
      <c r="U50" s="65">
        <f>('NPV Summary'!$B$15-S50)+T50</f>
        <v>9000</v>
      </c>
      <c r="V50" s="65">
        <f>LOOKUP(B50,Rates!$A$5:$B$168)</f>
        <v>4023.0153199725773</v>
      </c>
      <c r="W50" s="56">
        <f t="shared" si="8"/>
        <v>36.207137879753198</v>
      </c>
      <c r="X50" s="60">
        <f t="shared" si="24"/>
        <v>821.11888787289729</v>
      </c>
      <c r="Y50" s="426">
        <f t="shared" si="25"/>
        <v>33.174185425373985</v>
      </c>
      <c r="Z50" s="426">
        <f t="shared" si="25"/>
        <v>749.43545268553771</v>
      </c>
      <c r="AA50" s="425">
        <f>IF(SUM(AA$11:AA49)&gt;0,0,IF(SUM(X50-R50)&gt;0,B50,0))</f>
        <v>0</v>
      </c>
      <c r="AB50" s="427">
        <f>ABS(Z50)*1000000/SUM(U$11:U50)</f>
        <v>1951.6548247019211</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3'!A51, MP_new!$A$4:$A$9, 0), 10), T49), 0)</f>
        <v>9000</v>
      </c>
      <c r="U51" s="2">
        <f>('NPV Summary'!$B$15-S51)+T51</f>
        <v>9000</v>
      </c>
      <c r="V51" s="2">
        <f>LOOKUP(B51,Rates!$A$5:$B$168)</f>
        <v>4167.8438714915901</v>
      </c>
      <c r="W51" s="58">
        <f t="shared" si="8"/>
        <v>37.510594843424315</v>
      </c>
      <c r="X51" s="59">
        <f t="shared" si="24"/>
        <v>858.6294827163216</v>
      </c>
      <c r="Y51" s="12">
        <f t="shared" si="25"/>
        <v>34.356324290869928</v>
      </c>
      <c r="Z51" s="12">
        <f t="shared" si="25"/>
        <v>783.79177697640773</v>
      </c>
      <c r="AA51" s="425">
        <f>IF(SUM(AA$11:AA50)&gt;0,0,IF(SUM(X51-R51)&gt;0,B51,0))</f>
        <v>0</v>
      </c>
      <c r="AB51" s="133">
        <f>ABS(Z51)*1000000/SUM(U$11:U51)</f>
        <v>1994.3811118992564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3'!A52, MP_new!$A$4:$A$9, 0), 10), T50), 0)</f>
        <v>9000</v>
      </c>
      <c r="U52" s="65">
        <f>('NPV Summary'!$B$15-S52)+T52</f>
        <v>9000</v>
      </c>
      <c r="V52" s="65">
        <f>LOOKUP(B52,Rates!$A$5:$B$168)</f>
        <v>4317.8862508652874</v>
      </c>
      <c r="W52" s="56">
        <f t="shared" si="8"/>
        <v>38.860976257787584</v>
      </c>
      <c r="X52" s="57">
        <f t="shared" si="24"/>
        <v>897.49045897410917</v>
      </c>
      <c r="Y52" s="426">
        <f t="shared" si="25"/>
        <v>35.580534883131023</v>
      </c>
      <c r="Z52" s="426">
        <f t="shared" si="25"/>
        <v>819.37231185953874</v>
      </c>
      <c r="AA52" s="425">
        <f>IF(SUM(AA$11:AA51)&gt;0,0,IF(SUM(X52-R52)&gt;0,B52,0))</f>
        <v>0</v>
      </c>
      <c r="AB52" s="427">
        <f>ABS(Z52)*1000000/SUM(U$11:U52)</f>
        <v>2038.2395817401461</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3'!A53, MP_new!$A$4:$A$9, 0), 10), T51), 0)</f>
        <v>9000</v>
      </c>
      <c r="U53" s="2">
        <f>('NPV Summary'!$B$15-S53)+T53</f>
        <v>9000</v>
      </c>
      <c r="V53" s="2">
        <f>LOOKUP(B53,Rates!$A$5:$B$168)</f>
        <v>4473.3301558964376</v>
      </c>
      <c r="W53" s="58">
        <f t="shared" si="8"/>
        <v>40.259971403067937</v>
      </c>
      <c r="X53" s="59">
        <f>X52+W53</f>
        <v>937.75043037717705</v>
      </c>
      <c r="Y53" s="12">
        <f>W53-Q53</f>
        <v>36.848312373425117</v>
      </c>
      <c r="Z53" s="12">
        <f>X53-R53</f>
        <v>856.22062423296381</v>
      </c>
      <c r="AA53" s="425">
        <f>IF(SUM(AA$11:AA52)&gt;0,0,IF(SUM(X53-R53)&gt;0,B53,0))</f>
        <v>0</v>
      </c>
      <c r="AB53" s="133">
        <f>ABS(Z53)*1000000/SUM(U$11:U53)</f>
        <v>2083.2618594476003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367.7357949921427</v>
      </c>
      <c r="X54" s="47" t="s">
        <v>30</v>
      </c>
      <c r="Y54" s="48">
        <f>IFERROR(IRR(Y11:Y53), 0)</f>
        <v>0</v>
      </c>
      <c r="AA54" s="430" t="s">
        <v>508</v>
      </c>
      <c r="AB54" s="431">
        <f>R53*1000000/SUM(U$11:U53)</f>
        <v>198.36935801511748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4</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NPV=$381.918)</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4'!A11,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4'!A12,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4'!A13,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4'!A14,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4'!A15,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4'!A16,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4'!A17,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4'!A18,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4'!A19,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4'!A20,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-5000</v>
      </c>
      <c r="T21" s="493">
        <f>IF(EXACT($Q$5, "Yes"), IF(NOT(EXACT(A21, "MP Complete")), INDEX(MP_new!$A$4:$J$9, MATCH('Steps 1 thru 4'!A21,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-5000</v>
      </c>
      <c r="T22" s="493">
        <f>IF(EXACT($Q$5, "Yes"), IF(NOT(EXACT(A22, "MP Complete")), INDEX(MP_new!$A$4:$J$9, MATCH('Steps 1 thru 4'!A22,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-5000</v>
      </c>
      <c r="T23" s="493">
        <f>IF(EXACT($Q$5, "Yes"), IF(NOT(EXACT(A23, "MP Complete")), INDEX(MP_new!$A$4:$J$9, MATCH('Steps 1 thru 4'!A23,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0</v>
      </c>
      <c r="T24" s="493">
        <f>IF(EXACT($Q$5, "Yes"), IF(NOT(EXACT(A24, "MP Complete")), INDEX(MP_new!$A$4:$J$9, MATCH('Steps 1 thru 4'!A24, MP_new!$A$4:$A$9, 0), 10), T22), 0)</f>
        <v>9000</v>
      </c>
      <c r="U24" s="65">
        <f>('NPV Summary'!$B$15-S24)+T24</f>
        <v>9000</v>
      </c>
      <c r="V24" s="65">
        <f>LOOKUP(B24,Rates!$A$5:$B$168)</f>
        <v>1603.9766649260607</v>
      </c>
      <c r="W24" s="56">
        <f t="shared" si="8"/>
        <v>14.435789984334548</v>
      </c>
      <c r="X24" s="57">
        <f t="shared" si="24"/>
        <v>217.01382634446921</v>
      </c>
      <c r="Y24" s="426">
        <f t="shared" si="25"/>
        <v>13.341836690031622</v>
      </c>
      <c r="Z24" s="426">
        <f t="shared" si="25"/>
        <v>195.74436931909315</v>
      </c>
      <c r="AA24" s="425">
        <f>IF(SUM(AA$11:AA23)&gt;0,0,IF(SUM(X24-R24)&gt;0,B24,0))</f>
        <v>0</v>
      </c>
      <c r="AB24" s="427">
        <f>ABS(Z24)*1000000/SUM(U$11:U24)</f>
        <v>1186.3295110248068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0</v>
      </c>
      <c r="T25" s="493">
        <f>IF(EXACT($Q$5, "Yes"), IF(NOT(EXACT(A25, "MP Complete")), INDEX(MP_new!$A$4:$J$9, MATCH('Steps 1 thru 4'!A25, MP_new!$A$4:$A$9, 0), 10), T23), 0)</f>
        <v>9000</v>
      </c>
      <c r="U25" s="2">
        <f>('NPV Summary'!$B$15-S25)+T25</f>
        <v>9000</v>
      </c>
      <c r="V25" s="2">
        <f>LOOKUP(B25,Rates!$A$5:$B$168)</f>
        <v>1661.719824863399</v>
      </c>
      <c r="W25" s="58">
        <f t="shared" si="8"/>
        <v>14.955478423770591</v>
      </c>
      <c r="X25" s="59">
        <f t="shared" si="24"/>
        <v>231.96930476823979</v>
      </c>
      <c r="Y25" s="12">
        <f t="shared" si="25"/>
        <v>13.817766997695548</v>
      </c>
      <c r="Z25" s="12">
        <f t="shared" si="25"/>
        <v>209.5621363167887</v>
      </c>
      <c r="AA25" s="425">
        <f>IF(SUM(AA$11:AA24)&gt;0,0,IF(SUM(X25-R25)&gt;0,B25,0))</f>
        <v>0</v>
      </c>
      <c r="AB25" s="133">
        <f>ABS(Z25)*1000000/SUM(U$11:U25)</f>
        <v>1204.3800937746478</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0</v>
      </c>
      <c r="T26" s="493">
        <f>IF(EXACT($Q$5, "Yes"), IF(NOT(EXACT(A26, "MP Complete")), INDEX(MP_new!$A$4:$J$9, MATCH('Steps 1 thru 4'!A26, MP_new!$A$4:$A$9, 0), 10), T24), 0)</f>
        <v>9000</v>
      </c>
      <c r="U26" s="65">
        <f>('NPV Summary'!$B$15-S26)+T26</f>
        <v>9000</v>
      </c>
      <c r="V26" s="65">
        <f>LOOKUP(B26,Rates!$A$5:$B$168)</f>
        <v>1721.5417385584815</v>
      </c>
      <c r="W26" s="56">
        <f t="shared" si="8"/>
        <v>15.493875647026334</v>
      </c>
      <c r="X26" s="57">
        <f t="shared" si="24"/>
        <v>247.46318041526612</v>
      </c>
      <c r="Y26" s="426">
        <f t="shared" si="25"/>
        <v>14.31065576390829</v>
      </c>
      <c r="Z26" s="426">
        <f t="shared" si="25"/>
        <v>223.87279208069697</v>
      </c>
      <c r="AA26" s="425">
        <f>IF(SUM(AA$11:AA25)&gt;0,0,IF(SUM(X26-R26)&gt;0,B26,0))</f>
        <v>0</v>
      </c>
      <c r="AB26" s="427">
        <f>ABS(Z26)*1000000/SUM(U$11:U26)</f>
        <v>1223.3485906049016</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4'!A27, MP_new!$A$4:$A$9, 0), 10), T25), 0)</f>
        <v>9000</v>
      </c>
      <c r="U27" s="2">
        <f>('NPV Summary'!$B$15-S27)+T27</f>
        <v>9000</v>
      </c>
      <c r="V27" s="2">
        <f>LOOKUP(B27,Rates!$A$5:$B$168)</f>
        <v>1783.5172411465869</v>
      </c>
      <c r="W27" s="58">
        <f t="shared" si="8"/>
        <v>16.051655170319282</v>
      </c>
      <c r="X27" s="59">
        <f t="shared" si="24"/>
        <v>263.51483558558539</v>
      </c>
      <c r="Y27" s="12">
        <f t="shared" si="25"/>
        <v>14.821106491876517</v>
      </c>
      <c r="Z27" s="12">
        <f t="shared" si="25"/>
        <v>238.69389857257349</v>
      </c>
      <c r="AA27" s="425">
        <f>IF(SUM(AA$11:AA26)&gt;0,0,IF(SUM(X27-R27)&gt;0,B27,0))</f>
        <v>0</v>
      </c>
      <c r="AB27" s="133">
        <f>ABS(Z27)*1000000/SUM(U$11:U27)</f>
        <v>1243.1973883988203</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4'!A28, MP_new!$A$4:$A$9, 0), 10), T26), 0)</f>
        <v>9000</v>
      </c>
      <c r="U28" s="65">
        <f>('NPV Summary'!$B$15-S28)+T28</f>
        <v>9000</v>
      </c>
      <c r="V28" s="65">
        <f>LOOKUP(B28,Rates!$A$5:$B$168)</f>
        <v>1847.7238618278641</v>
      </c>
      <c r="W28" s="56">
        <f t="shared" si="8"/>
        <v>16.629514756450774</v>
      </c>
      <c r="X28" s="57">
        <f t="shared" si="24"/>
        <v>280.14435034203615</v>
      </c>
      <c r="Y28" s="426">
        <f t="shared" si="25"/>
        <v>15.349744130870297</v>
      </c>
      <c r="Z28" s="426">
        <f t="shared" si="25"/>
        <v>254.04364270344377</v>
      </c>
      <c r="AA28" s="425">
        <f>IF(SUM(AA$11:AA27)&gt;0,0,IF(SUM(X28-R28)&gt;0,B28,0))</f>
        <v>0</v>
      </c>
      <c r="AB28" s="427">
        <f>ABS(Z28)*1000000/SUM(U$11:U28)</f>
        <v>1263.8987199176306</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4'!A29, MP_new!$A$4:$A$9, 0), 10), T27), 0)</f>
        <v>9000</v>
      </c>
      <c r="U29" s="2">
        <f>('NPV Summary'!$B$15-S29)+T29</f>
        <v>9000</v>
      </c>
      <c r="V29" s="2">
        <f>LOOKUP(B29,Rates!$A$5:$B$168)</f>
        <v>1914.2419208536674</v>
      </c>
      <c r="W29" s="58">
        <f t="shared" si="8"/>
        <v>17.228177287683007</v>
      </c>
      <c r="X29" s="59">
        <f t="shared" si="24"/>
        <v>297.37252762971917</v>
      </c>
      <c r="Y29" s="12">
        <f t="shared" si="25"/>
        <v>15.89721583707931</v>
      </c>
      <c r="Z29" s="12">
        <f t="shared" si="25"/>
        <v>269.9408585405231</v>
      </c>
      <c r="AA29" s="425">
        <f>IF(SUM(AA$11:AA28)&gt;0,0,IF(SUM(X29-R29)&gt;0,B29,0))</f>
        <v>0</v>
      </c>
      <c r="AB29" s="133">
        <f>ABS(Z29)*1000000/SUM(U$11:U29)</f>
        <v>1285.4326597167767</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4'!A30, MP_new!$A$4:$A$9, 0), 10), T28), 0)</f>
        <v>9000</v>
      </c>
      <c r="U30" s="65">
        <f>('NPV Summary'!$B$15-S30)+T30</f>
        <v>9000</v>
      </c>
      <c r="V30" s="65">
        <f>LOOKUP(B30,Rates!$A$5:$B$168)</f>
        <v>1983.1546300043995</v>
      </c>
      <c r="W30" s="56">
        <f t="shared" si="8"/>
        <v>17.848391670039593</v>
      </c>
      <c r="X30" s="57">
        <f t="shared" si="24"/>
        <v>315.22091929975875</v>
      </c>
      <c r="Y30" s="426">
        <f t="shared" si="25"/>
        <v>16.464191761411747</v>
      </c>
      <c r="Z30" s="426">
        <f t="shared" si="25"/>
        <v>286.40505030193481</v>
      </c>
      <c r="AA30" s="425">
        <f>IF(SUM(AA$11:AA29)&gt;0,0,IF(SUM(X30-R30)&gt;0,B30,0))</f>
        <v>0</v>
      </c>
      <c r="AB30" s="427">
        <f>ABS(Z30)*1000000/SUM(U$11:U30)</f>
        <v>1307.7856178170539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4'!A31, MP_new!$A$4:$A$9, 0), 10), T29), 0)</f>
        <v>9000</v>
      </c>
      <c r="U31" s="2">
        <f>('NPV Summary'!$B$15-S31)+T31</f>
        <v>9000</v>
      </c>
      <c r="V31" s="2">
        <f>LOOKUP(B31,Rates!$A$5:$B$168)</f>
        <v>2054.5481966845578</v>
      </c>
      <c r="W31" s="58">
        <f t="shared" si="8"/>
        <v>18.490933770161021</v>
      </c>
      <c r="X31" s="59">
        <f t="shared" si="24"/>
        <v>333.71185306991975</v>
      </c>
      <c r="Y31" s="12">
        <f t="shared" si="25"/>
        <v>17.051365865188064</v>
      </c>
      <c r="Z31" s="12">
        <f t="shared" si="25"/>
        <v>303.45641616712288</v>
      </c>
      <c r="AA31" s="425">
        <f>IF(SUM(AA$11:AA30)&gt;0,0,IF(SUM(X31-R31)&gt;0,B31,0))</f>
        <v>0</v>
      </c>
      <c r="AB31" s="133">
        <f>ABS(Z31)*1000000/SUM(U$11:U31)</f>
        <v>1330.9491937154514</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4'!A32, MP_new!$A$4:$A$9, 0), 10), T30), 0)</f>
        <v>9000</v>
      </c>
      <c r="U32" s="65">
        <f>('NPV Summary'!$B$15-S32)+T32</f>
        <v>9000</v>
      </c>
      <c r="V32" s="65">
        <f>LOOKUP(B32,Rates!$A$5:$B$168)</f>
        <v>2128.511931765202</v>
      </c>
      <c r="W32" s="56">
        <f t="shared" si="8"/>
        <v>19.156607385886819</v>
      </c>
      <c r="X32" s="57">
        <f t="shared" si="24"/>
        <v>352.8684604558066</v>
      </c>
      <c r="Y32" s="426">
        <f t="shared" si="25"/>
        <v>17.659456764714943</v>
      </c>
      <c r="Z32" s="426">
        <f t="shared" si="25"/>
        <v>321.11587293183783</v>
      </c>
      <c r="AA32" s="425">
        <f>IF(SUM(AA$11:AA31)&gt;0,0,IF(SUM(X32-R32)&gt;0,B32,0))</f>
        <v>0</v>
      </c>
      <c r="AB32" s="427">
        <f>ABS(Z32)*1000000/SUM(U$11:U32)</f>
        <v>1354.9192950710458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4'!A33, MP_new!$A$4:$A$9, 0), 10), T31), 0)</f>
        <v>9000</v>
      </c>
      <c r="U33" s="2">
        <f>('NPV Summary'!$B$15-S33)+T33</f>
        <v>9000</v>
      </c>
      <c r="V33" s="2">
        <f>LOOKUP(B33,Rates!$A$5:$B$168)</f>
        <v>2205.1383613087492</v>
      </c>
      <c r="W33" s="58">
        <f t="shared" si="8"/>
        <v>19.846245251778743</v>
      </c>
      <c r="X33" s="59">
        <f t="shared" si="24"/>
        <v>372.71470570758532</v>
      </c>
      <c r="Y33" s="12">
        <f t="shared" si="25"/>
        <v>18.289208605759992</v>
      </c>
      <c r="Z33" s="12">
        <f t="shared" si="25"/>
        <v>339.40508153759782</v>
      </c>
      <c r="AA33" s="425">
        <f>IF(SUM(AA$11:AA32)&gt;0,0,IF(SUM(X33-R33)&gt;0,B33,0))</f>
        <v>0</v>
      </c>
      <c r="AB33" s="133">
        <f>ABS(Z33)*1000000/SUM(U$11:U33)</f>
        <v>1379.6954534048693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4'!A34, MP_new!$A$4:$A$9, 0), 10), T32), 0)</f>
        <v>9000</v>
      </c>
      <c r="U34" s="65">
        <f>('NPV Summary'!$B$15-S34)+T34</f>
        <v>9000</v>
      </c>
      <c r="V34" s="65">
        <f>LOOKUP(B34,Rates!$A$5:$B$168)</f>
        <v>2284.5233423158643</v>
      </c>
      <c r="W34" s="56">
        <f t="shared" si="8"/>
        <v>20.560710080842778</v>
      </c>
      <c r="X34" s="57">
        <f t="shared" si="24"/>
        <v>393.27541578842812</v>
      </c>
      <c r="Y34" s="426">
        <f t="shared" si="25"/>
        <v>18.941391968983275</v>
      </c>
      <c r="Z34" s="426">
        <f t="shared" si="25"/>
        <v>358.34647350658111</v>
      </c>
      <c r="AA34" s="425">
        <f>IF(SUM(AA$11:AA33)&gt;0,0,IF(SUM(X34-R34)&gt;0,B34,0))</f>
        <v>0</v>
      </c>
      <c r="AB34" s="427">
        <f>ABS(Z34)*1000000/SUM(U$11:U34)</f>
        <v>1405.2802882611024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4'!A35, MP_new!$A$4:$A$9, 0), 10), T33), 0)</f>
        <v>9000</v>
      </c>
      <c r="U35" s="2">
        <f>('NPV Summary'!$B$15-S35)+T35</f>
        <v>9000</v>
      </c>
      <c r="V35" s="2">
        <f>LOOKUP(B35,Rates!$A$5:$B$168)</f>
        <v>2366.7661826392355</v>
      </c>
      <c r="W35" s="58">
        <f t="shared" si="8"/>
        <v>21.300895643753119</v>
      </c>
      <c r="X35" s="59">
        <f t="shared" si="24"/>
        <v>414.57631143218123</v>
      </c>
      <c r="Y35" s="12">
        <f t="shared" si="25"/>
        <v>19.616804807419236</v>
      </c>
      <c r="Z35" s="12">
        <f t="shared" si="25"/>
        <v>377.96327831400032</v>
      </c>
      <c r="AA35" s="425">
        <f>IF(SUM(AA$11:AA34)&gt;0,0,IF(SUM(X35-R35)&gt;0,B35,0))</f>
        <v>0</v>
      </c>
      <c r="AB35" s="133">
        <f>ABS(Z35)*1000000/SUM(U$11:U35)</f>
        <v>1431.6790845227285</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4'!A36, MP_new!$A$4:$A$9, 0), 10), T34), 0)</f>
        <v>9000</v>
      </c>
      <c r="U36" s="65">
        <f>('NPV Summary'!$B$15-S36)+T36</f>
        <v>9000</v>
      </c>
      <c r="V36" s="65">
        <f>LOOKUP(B36,Rates!$A$5:$B$168)</f>
        <v>2451.9697652142481</v>
      </c>
      <c r="W36" s="56">
        <f t="shared" si="8"/>
        <v>22.067727886928235</v>
      </c>
      <c r="X36" s="57">
        <f t="shared" si="24"/>
        <v>436.64403931910948</v>
      </c>
      <c r="Y36" s="426">
        <f t="shared" si="25"/>
        <v>20.316273417140998</v>
      </c>
      <c r="Z36" s="426">
        <f t="shared" si="25"/>
        <v>398.27955173114134</v>
      </c>
      <c r="AA36" s="425">
        <f>IF(SUM(AA$11:AA35)&gt;0,0,IF(SUM(X36-R36)&gt;0,B36,0))</f>
        <v>0</v>
      </c>
      <c r="AB36" s="427">
        <f>ABS(Z36)*1000000/SUM(U$11:U36)</f>
        <v>1458.8994568906276</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4'!A37, MP_new!$A$4:$A$9, 0), 10), T35), 0)</f>
        <v>9000</v>
      </c>
      <c r="U37" s="2">
        <f>('NPV Summary'!$B$15-S37)+T37</f>
        <v>9000</v>
      </c>
      <c r="V37" s="2">
        <f>LOOKUP(B37,Rates!$A$5:$B$168)</f>
        <v>2540.2406767619609</v>
      </c>
      <c r="W37" s="58">
        <f t="shared" si="8"/>
        <v>22.862166090857649</v>
      </c>
      <c r="X37" s="59">
        <f t="shared" si="24"/>
        <v>459.50620540996715</v>
      </c>
      <c r="Y37" s="12">
        <f t="shared" si="25"/>
        <v>21.040653442278924</v>
      </c>
      <c r="Z37" s="12">
        <f t="shared" si="25"/>
        <v>419.32020517342028</v>
      </c>
      <c r="AA37" s="425">
        <f>IF(SUM(AA$11:AA36)&gt;0,0,IF(SUM(X37-R37)&gt;0,B37,0))</f>
        <v>0</v>
      </c>
      <c r="AB37" s="133">
        <f>ABS(Z37)*1000000/SUM(U$11:U37)</f>
        <v>1486.9510821752492</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4'!A38, MP_new!$A$4:$A$9, 0), 10), T36), 0)</f>
        <v>9000</v>
      </c>
      <c r="U38" s="65">
        <f>('NPV Summary'!$B$15-S38)+T38</f>
        <v>9000</v>
      </c>
      <c r="V38" s="65">
        <f>LOOKUP(B38,Rates!$A$5:$B$168)</f>
        <v>2631.6893411253914</v>
      </c>
      <c r="W38" s="56">
        <f t="shared" si="8"/>
        <v>23.685204070128524</v>
      </c>
      <c r="X38" s="57">
        <f t="shared" si="24"/>
        <v>483.19140948009567</v>
      </c>
      <c r="Y38" s="426">
        <f t="shared" si="25"/>
        <v>21.790830915606648</v>
      </c>
      <c r="Z38" s="426">
        <f t="shared" si="25"/>
        <v>441.11103608902692</v>
      </c>
      <c r="AA38" s="425">
        <f>IF(SUM(AA$11:AA37)&gt;0,0,IF(SUM(X38-R38)&gt;0,B38,0))</f>
        <v>0</v>
      </c>
      <c r="AB38" s="427">
        <f>ABS(Z38)*1000000/SUM(U$11:U38)</f>
        <v>1515.845484842017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4'!A39, MP_new!$A$4:$A$9, 0), 10), T37), 0)</f>
        <v>9000</v>
      </c>
      <c r="U39" s="2">
        <f>('NPV Summary'!$B$15-S39)+T39</f>
        <v>9000</v>
      </c>
      <c r="V39" s="2">
        <f>LOOKUP(B39,Rates!$A$5:$B$168)</f>
        <v>2726.4301574059054</v>
      </c>
      <c r="W39" s="58">
        <f t="shared" si="8"/>
        <v>24.53787141665315</v>
      </c>
      <c r="X39" s="59">
        <f t="shared" si="24"/>
        <v>507.72928089674883</v>
      </c>
      <c r="Y39" s="12">
        <f t="shared" si="25"/>
        <v>22.567723335950397</v>
      </c>
      <c r="Z39" s="12">
        <f t="shared" si="25"/>
        <v>463.67875942497739</v>
      </c>
      <c r="AA39" s="425">
        <f>IF(SUM(AA$11:AA38)&gt;0,0,IF(SUM(X39-R39)&gt;0,B39,0))</f>
        <v>0</v>
      </c>
      <c r="AB39" s="133">
        <f>ABS(Z39)*1000000/SUM(U$11:U39)</f>
        <v>1545.5958647499244</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4'!A40, MP_new!$A$4:$A$9, 0), 10), T38), 0)</f>
        <v>9000</v>
      </c>
      <c r="U40" s="65">
        <f>('NPV Summary'!$B$15-S40)+T40</f>
        <v>9000</v>
      </c>
      <c r="V40" s="65">
        <f>LOOKUP(B40,Rates!$A$5:$B$168)</f>
        <v>2824.5816430725181</v>
      </c>
      <c r="W40" s="56">
        <f t="shared" si="8"/>
        <v>25.421234787652665</v>
      </c>
      <c r="X40" s="57">
        <f t="shared" si="24"/>
        <v>533.15051568440151</v>
      </c>
      <c r="Y40" s="426">
        <f t="shared" si="25"/>
        <v>23.372280783721806</v>
      </c>
      <c r="Z40" s="426">
        <f t="shared" si="25"/>
        <v>487.05104020869919</v>
      </c>
      <c r="AA40" s="425">
        <f>IF(SUM(AA$11:AA39)&gt;0,0,IF(SUM(X40-R40)&gt;0,B40,0))</f>
        <v>0</v>
      </c>
      <c r="AB40" s="427">
        <f>ABS(Z40)*1000000/SUM(U$11:U40)</f>
        <v>1576.2169586042044</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4'!A41, MP_new!$A$4:$A$9, 0), 10), T39), 0)</f>
        <v>9000</v>
      </c>
      <c r="U41" s="2">
        <f>('NPV Summary'!$B$15-S41)+T41</f>
        <v>9000</v>
      </c>
      <c r="V41" s="2">
        <f>LOOKUP(B41,Rates!$A$5:$B$168)</f>
        <v>2926.2665822231288</v>
      </c>
      <c r="W41" s="58">
        <f t="shared" si="8"/>
        <v>26.336399240008159</v>
      </c>
      <c r="X41" s="59">
        <f t="shared" si="24"/>
        <v>559.48691492440969</v>
      </c>
      <c r="Y41" s="12">
        <f t="shared" si="25"/>
        <v>24.205487075920065</v>
      </c>
      <c r="Z41" s="12">
        <f t="shared" si="25"/>
        <v>511.25652728461927</v>
      </c>
      <c r="AA41" s="425">
        <f>IF(SUM(AA$11:AA40)&gt;0,0,IF(SUM(X41-R41)&gt;0,B41,0))</f>
        <v>0</v>
      </c>
      <c r="AB41" s="133">
        <f>ABS(Z41)*1000000/SUM(U$11:U41)</f>
        <v>1607.7249285679852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4'!A42, MP_new!$A$4:$A$9, 0), 10), T40), 0)</f>
        <v>9000</v>
      </c>
      <c r="U42" s="65">
        <f>('NPV Summary'!$B$15-S42)+T42</f>
        <v>9000</v>
      </c>
      <c r="V42" s="65">
        <f>LOOKUP(B42,Rates!$A$5:$B$168)</f>
        <v>3031.6121791831615</v>
      </c>
      <c r="W42" s="56">
        <f t="shared" si="8"/>
        <v>27.284509612648453</v>
      </c>
      <c r="X42" s="57">
        <f t="shared" si="24"/>
        <v>586.77142453705812</v>
      </c>
      <c r="Y42" s="426">
        <f t="shared" si="25"/>
        <v>25.068360961996834</v>
      </c>
      <c r="Z42" s="426">
        <f t="shared" si="25"/>
        <v>536.32488824661607</v>
      </c>
      <c r="AA42" s="425">
        <f>IF(SUM(AA$11:AA41)&gt;0,0,IF(SUM(X42-R42)&gt;0,B42,0))</f>
        <v>0</v>
      </c>
      <c r="AB42" s="427">
        <f>ABS(Z42)*1000000/SUM(U$11:U42)</f>
        <v>1640.1372729254315</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4'!A43, MP_new!$A$4:$A$9, 0), 10), T41), 0)</f>
        <v>9000</v>
      </c>
      <c r="U43" s="2">
        <f>('NPV Summary'!$B$15-S43)+T43</f>
        <v>9000</v>
      </c>
      <c r="V43" s="2">
        <f>LOOKUP(B43,Rates!$A$5:$B$168)</f>
        <v>3140.7502176337553</v>
      </c>
      <c r="W43" s="58">
        <f t="shared" si="8"/>
        <v>28.266751958703797</v>
      </c>
      <c r="X43" s="59">
        <f t="shared" si="24"/>
        <v>615.03817649576195</v>
      </c>
      <c r="Y43" s="12">
        <f t="shared" si="25"/>
        <v>25.961957362026112</v>
      </c>
      <c r="Z43" s="12">
        <f t="shared" si="25"/>
        <v>562.28684560864224</v>
      </c>
      <c r="AA43" s="425">
        <f>IF(SUM(AA$11:AA42)&gt;0,0,IF(SUM(X43-R43)&gt;0,B43,0))</f>
        <v>0</v>
      </c>
      <c r="AB43" s="133">
        <f>ABS(Z43)*1000000/SUM(U$11:U43)</f>
        <v>1673.4727547876257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4'!A44, MP_new!$A$4:$A$9, 0), 10), T42), 0)</f>
        <v>9000</v>
      </c>
      <c r="U44" s="65">
        <f>('NPV Summary'!$B$15-S44)+T44</f>
        <v>9000</v>
      </c>
      <c r="V44" s="65">
        <f>LOOKUP(B44,Rates!$A$5:$B$168)</f>
        <v>3253.8172254685705</v>
      </c>
      <c r="W44" s="56">
        <f t="shared" si="8"/>
        <v>29.284355029217135</v>
      </c>
      <c r="X44" s="57">
        <f t="shared" si="24"/>
        <v>644.32253152497913</v>
      </c>
      <c r="Y44" s="426">
        <f t="shared" si="25"/>
        <v>26.887368648672343</v>
      </c>
      <c r="Z44" s="426">
        <f t="shared" si="25"/>
        <v>589.17421425731459</v>
      </c>
      <c r="AA44" s="425">
        <f>IF(SUM(AA$11:AA43)&gt;0,0,IF(SUM(X44-R44)&gt;0,B44,0))</f>
        <v>0</v>
      </c>
      <c r="AB44" s="427">
        <f>ABS(Z44)*1000000/SUM(U$11:U44)</f>
        <v>1707.7513456733755</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4'!A45, MP_new!$A$4:$A$9, 0), 10), T43), 0)</f>
        <v>9000</v>
      </c>
      <c r="U45" s="2">
        <f>('NPV Summary'!$B$15-S45)+T45</f>
        <v>9000</v>
      </c>
      <c r="V45" s="2">
        <f>LOOKUP(B45,Rates!$A$5:$B$168)</f>
        <v>3370.9546455854393</v>
      </c>
      <c r="W45" s="58">
        <f t="shared" si="8"/>
        <v>30.338591810268955</v>
      </c>
      <c r="X45" s="59">
        <f t="shared" si="24"/>
        <v>674.66112333524813</v>
      </c>
      <c r="Y45" s="12">
        <f t="shared" si="25"/>
        <v>27.845725974502372</v>
      </c>
      <c r="Z45" s="12">
        <f t="shared" si="25"/>
        <v>617.01994023181703</v>
      </c>
      <c r="AA45" s="425">
        <f>IF(SUM(AA$11:AA44)&gt;0,0,IF(SUM(X45-R45)&gt;0,B45,0))</f>
        <v>0</v>
      </c>
      <c r="AB45" s="133">
        <f>ABS(Z45)*1000000/SUM(U$11:U45)</f>
        <v>1742.9941814458107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4'!A46, MP_new!$A$4:$A$9, 0), 10), T44), 0)</f>
        <v>9000</v>
      </c>
      <c r="U46" s="65">
        <f>('NPV Summary'!$B$15-S46)+T46</f>
        <v>9000</v>
      </c>
      <c r="V46" s="65">
        <f>LOOKUP(B46,Rates!$A$5:$B$168)</f>
        <v>3492.3090128265153</v>
      </c>
      <c r="W46" s="56">
        <f t="shared" si="8"/>
        <v>31.430781115438638</v>
      </c>
      <c r="X46" s="57">
        <f t="shared" si="24"/>
        <v>706.0919044506868</v>
      </c>
      <c r="Y46" s="426">
        <f t="shared" si="25"/>
        <v>28.83820064624139</v>
      </c>
      <c r="Z46" s="426">
        <f t="shared" si="25"/>
        <v>645.85814087805841</v>
      </c>
      <c r="AA46" s="425">
        <f>IF(SUM(AA$11:AA45)&gt;0,0,IF(SUM(X46-R46)&gt;0,B46,0))</f>
        <v>0</v>
      </c>
      <c r="AB46" s="427">
        <f>ABS(Z46)*1000000/SUM(U$11:U46)</f>
        <v>1779.2235285896927</v>
      </c>
      <c r="AC46">
        <f>R46*1000000/SUM(U$11:U46)</f>
        <v>165.93323298244721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4'!A47, MP_new!$A$4:$A$9, 0), 10), T45), 0)</f>
        <v>9000</v>
      </c>
      <c r="U47" s="2">
        <f>('NPV Summary'!$B$15-S47)+T47</f>
        <v>9000</v>
      </c>
      <c r="V47" s="2">
        <f>LOOKUP(B47,Rates!$A$5:$B$168)</f>
        <v>3618.03213728827</v>
      </c>
      <c r="W47" s="58">
        <f t="shared" si="8"/>
        <v>32.562289235594427</v>
      </c>
      <c r="X47" s="59">
        <f t="shared" si="24"/>
        <v>738.65419368628125</v>
      </c>
      <c r="Y47" s="12">
        <f t="shared" si="25"/>
        <v>29.866005547629292</v>
      </c>
      <c r="Z47" s="12">
        <f t="shared" si="25"/>
        <v>675.72414642568776</v>
      </c>
      <c r="AA47" s="425">
        <f>IF(SUM(AA$11:AA46)&gt;0,0,IF(SUM(X47-R47)&gt;0,B47,0))</f>
        <v>0</v>
      </c>
      <c r="AB47" s="133">
        <f>ABS(Z47)*1000000/SUM(U$11:U47)</f>
        <v>1816.4627592088382</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4'!A48, MP_new!$A$4:$A$9, 0), 10), T46), 0)</f>
        <v>9000</v>
      </c>
      <c r="U48" s="65">
        <f>('NPV Summary'!$B$15-S48)+T48</f>
        <v>9000</v>
      </c>
      <c r="V48" s="65">
        <f>LOOKUP(B48,Rates!$A$5:$B$168)</f>
        <v>3748.2812942306477</v>
      </c>
      <c r="W48" s="56">
        <f t="shared" si="8"/>
        <v>33.73453164807583</v>
      </c>
      <c r="X48" s="57">
        <f t="shared" si="24"/>
        <v>772.3887253343571</v>
      </c>
      <c r="Y48" s="426">
        <f t="shared" si="25"/>
        <v>30.930396612592087</v>
      </c>
      <c r="Z48" s="426">
        <f t="shared" si="25"/>
        <v>706.65454303827983</v>
      </c>
      <c r="AA48" s="425">
        <f>IF(SUM(AA$11:AA47)&gt;0,0,IF(SUM(X48-R48)&gt;0,B48,0))</f>
        <v>0</v>
      </c>
      <c r="AB48" s="427">
        <f>ABS(Z48)*1000000/SUM(U$11:U48)</f>
        <v>1854.7363334338052</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4'!A49, MP_new!$A$4:$A$9, 0), 10), T47), 0)</f>
        <v>9000</v>
      </c>
      <c r="U49" s="2">
        <f>('NPV Summary'!$B$15-S49)+T49</f>
        <v>9000</v>
      </c>
      <c r="V49" s="2">
        <f>LOOKUP(B49,Rates!$A$5:$B$168)</f>
        <v>3883.2194208229512</v>
      </c>
      <c r="W49" s="58">
        <f t="shared" si="8"/>
        <v>34.948974787406563</v>
      </c>
      <c r="X49" s="59">
        <f>X48+W49</f>
        <v>807.33770012176365</v>
      </c>
      <c r="Y49" s="12">
        <f t="shared" si="25"/>
        <v>32.03267435050347</v>
      </c>
      <c r="Z49" s="12">
        <f t="shared" si="25"/>
        <v>738.68721738878332</v>
      </c>
      <c r="AA49" s="425">
        <f>IF(SUM(AA$11:AA48)&gt;0,0,IF(SUM(X49-R49)&gt;0,B49,0))</f>
        <v>0</v>
      </c>
      <c r="AB49" s="133">
        <f>ABS(Z49)*1000000/SUM(U$11:U49)</f>
        <v>1894.0697881763676</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4'!A50, MP_new!$A$4:$A$9, 0), 10), T48), 0)</f>
        <v>9000</v>
      </c>
      <c r="U50" s="65">
        <f>('NPV Summary'!$B$15-S50)+T50</f>
        <v>9000</v>
      </c>
      <c r="V50" s="65">
        <f>LOOKUP(B50,Rates!$A$5:$B$168)</f>
        <v>4023.0153199725773</v>
      </c>
      <c r="W50" s="56">
        <f t="shared" si="8"/>
        <v>36.207137879753198</v>
      </c>
      <c r="X50" s="60">
        <f t="shared" si="24"/>
        <v>843.54483800151684</v>
      </c>
      <c r="Y50" s="426">
        <f t="shared" si="25"/>
        <v>33.174185425373985</v>
      </c>
      <c r="Z50" s="426">
        <f t="shared" si="25"/>
        <v>771.86140281415737</v>
      </c>
      <c r="AA50" s="425">
        <f>IF(SUM(AA$11:AA49)&gt;0,0,IF(SUM(X50-R50)&gt;0,B50,0))</f>
        <v>0</v>
      </c>
      <c r="AB50" s="427">
        <f>ABS(Z50)*1000000/SUM(U$11:U50)</f>
        <v>1934.489731363803</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4'!A51, MP_new!$A$4:$A$9, 0), 10), T49), 0)</f>
        <v>9000</v>
      </c>
      <c r="U51" s="2">
        <f>('NPV Summary'!$B$15-S51)+T51</f>
        <v>9000</v>
      </c>
      <c r="V51" s="2">
        <f>LOOKUP(B51,Rates!$A$5:$B$168)</f>
        <v>4167.8438714915901</v>
      </c>
      <c r="W51" s="58">
        <f t="shared" si="8"/>
        <v>37.510594843424315</v>
      </c>
      <c r="X51" s="59">
        <f t="shared" si="24"/>
        <v>881.05543284494115</v>
      </c>
      <c r="Y51" s="12">
        <f t="shared" si="25"/>
        <v>34.356324290869928</v>
      </c>
      <c r="Z51" s="12">
        <f t="shared" si="25"/>
        <v>806.21772710502728</v>
      </c>
      <c r="AA51" s="425">
        <f>IF(SUM(AA$11:AA50)&gt;0,0,IF(SUM(X51-R51)&gt;0,B51,0))</f>
        <v>0</v>
      </c>
      <c r="AB51" s="133">
        <f>ABS(Z51)*1000000/SUM(U$11:U51)</f>
        <v>1976.0238409436945</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4'!A52, MP_new!$A$4:$A$9, 0), 10), T50), 0)</f>
        <v>9000</v>
      </c>
      <c r="U52" s="65">
        <f>('NPV Summary'!$B$15-S52)+T52</f>
        <v>9000</v>
      </c>
      <c r="V52" s="65">
        <f>LOOKUP(B52,Rates!$A$5:$B$168)</f>
        <v>4317.8862508652874</v>
      </c>
      <c r="W52" s="56">
        <f t="shared" si="8"/>
        <v>38.860976257787584</v>
      </c>
      <c r="X52" s="57">
        <f t="shared" si="24"/>
        <v>919.91640910272872</v>
      </c>
      <c r="Y52" s="426">
        <f t="shared" si="25"/>
        <v>35.580534883131023</v>
      </c>
      <c r="Z52" s="426">
        <f t="shared" si="25"/>
        <v>841.79826198815829</v>
      </c>
      <c r="AA52" s="425">
        <f>IF(SUM(AA$11:AA51)&gt;0,0,IF(SUM(X52-R52)&gt;0,B52,0))</f>
        <v>0</v>
      </c>
      <c r="AB52" s="427">
        <f>ABS(Z52)*1000000/SUM(U$11:U52)</f>
        <v>2018.7008680771182</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4'!A53, MP_new!$A$4:$A$9, 0), 10), T51), 0)</f>
        <v>9000</v>
      </c>
      <c r="U53" s="2">
        <f>('NPV Summary'!$B$15-S53)+T53</f>
        <v>9000</v>
      </c>
      <c r="V53" s="2">
        <f>LOOKUP(B53,Rates!$A$5:$B$168)</f>
        <v>4473.3301558964376</v>
      </c>
      <c r="W53" s="58">
        <f t="shared" si="8"/>
        <v>40.259971403067937</v>
      </c>
      <c r="X53" s="59">
        <f>X52+W53</f>
        <v>960.17638050579671</v>
      </c>
      <c r="Y53" s="12">
        <f>W53-Q53</f>
        <v>36.848312373425117</v>
      </c>
      <c r="Z53" s="12">
        <f>X53-R53</f>
        <v>878.64657436158348</v>
      </c>
      <c r="AA53" s="425">
        <f>IF(SUM(AA$11:AA52)&gt;0,0,IF(SUM(X53-R53)&gt;0,B53,0))</f>
        <v>0</v>
      </c>
      <c r="AB53" s="133">
        <f>ABS(Z53)*1000000/SUM(U$11:U53)</f>
        <v>2062.550644041276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381.91783665764984</v>
      </c>
      <c r="X54" s="47" t="s">
        <v>30</v>
      </c>
      <c r="Y54" s="48">
        <f>IFERROR(IRR(Y11:Y53), 0)</f>
        <v>0</v>
      </c>
      <c r="AA54" s="430" t="s">
        <v>508</v>
      </c>
      <c r="AB54" s="431">
        <f>R53*1000000/SUM(U$11:U53)</f>
        <v>191.38452146528942</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topLeftCell="A4"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636</v>
      </c>
      <c r="B1" s="111"/>
      <c r="C1" s="111"/>
      <c r="D1" s="111"/>
      <c r="E1" s="111"/>
      <c r="F1" s="111"/>
      <c r="G1" s="111"/>
      <c r="I1" s="110">
        <v>5</v>
      </c>
      <c r="Y1" s="419"/>
      <c r="Z1"/>
      <c r="AA1"/>
      <c r="BW1" s="5"/>
      <c r="BX1" s="5"/>
    </row>
    <row r="2" spans="1:76" ht="15.75" customHeight="1" thickBot="1" x14ac:dyDescent="0.3">
      <c r="B2" s="600" t="s">
        <v>1</v>
      </c>
      <c r="C2" s="599"/>
      <c r="D2" s="599"/>
      <c r="E2" s="599"/>
      <c r="F2" s="599"/>
      <c r="G2" s="599"/>
      <c r="H2" s="599"/>
      <c r="I2" s="599"/>
      <c r="J2" s="599"/>
      <c r="K2" s="599"/>
      <c r="L2" s="599"/>
      <c r="M2" s="599"/>
      <c r="N2" s="599"/>
      <c r="O2" s="599"/>
      <c r="P2" s="599"/>
      <c r="Q2" s="599"/>
      <c r="R2" s="627"/>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33"/>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5">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4" t="s">
        <v>49</v>
      </c>
      <c r="AI7" s="635"/>
      <c r="AJ7" s="635"/>
      <c r="AK7" s="635"/>
      <c r="AL7" s="635"/>
      <c r="AM7" s="635"/>
      <c r="AN7" s="636"/>
    </row>
    <row r="8" spans="1:76" ht="13.5" customHeight="1" thickBot="1" x14ac:dyDescent="0.3">
      <c r="A8" s="640" t="s">
        <v>50</v>
      </c>
      <c r="B8" s="641"/>
      <c r="C8" s="641"/>
      <c r="D8" s="641"/>
      <c r="E8" s="641"/>
      <c r="F8" s="641"/>
      <c r="G8" s="641"/>
      <c r="H8" s="641"/>
      <c r="I8" s="641"/>
      <c r="J8" s="641"/>
      <c r="K8" s="641"/>
      <c r="L8" s="641"/>
      <c r="M8" s="641"/>
      <c r="N8" s="641"/>
      <c r="O8" s="641"/>
      <c r="P8" s="641"/>
      <c r="Q8" s="641"/>
      <c r="R8" s="641"/>
      <c r="S8" s="641"/>
      <c r="T8" s="641"/>
      <c r="U8" s="641"/>
      <c r="V8" s="641"/>
      <c r="W8" s="641"/>
      <c r="X8" s="641"/>
      <c r="Y8" s="641"/>
      <c r="Z8" s="642"/>
      <c r="AA8" s="422"/>
      <c r="AH8" s="637"/>
      <c r="AI8" s="638"/>
      <c r="AJ8" s="638"/>
      <c r="AK8" s="638"/>
      <c r="AL8" s="638"/>
      <c r="AM8" s="638"/>
      <c r="AN8" s="639"/>
    </row>
    <row r="9" spans="1:76" ht="38.25" customHeight="1" thickBot="1" x14ac:dyDescent="0.3">
      <c r="A9" s="628"/>
      <c r="B9" s="629"/>
      <c r="C9" s="643" t="str">
        <f>"Projected Annual Cost
"&amp;B5&amp;" Dollar Year" &amp;"
($Million)"</f>
        <v>Projected Annual Cost
2018 Dollar Year
($Million)</v>
      </c>
      <c r="D9" s="644"/>
      <c r="E9" s="645"/>
      <c r="F9" s="644" t="s">
        <v>51</v>
      </c>
      <c r="G9" s="644"/>
      <c r="H9" s="645"/>
      <c r="I9" s="646" t="str">
        <f>"Projected Annual Cost with Financing
($Million; NPV=$"&amp;ROUND(Q54,3)&amp;")"</f>
        <v>Projected Annual Cost with Financing
($Million; NPV=$35.404)</v>
      </c>
      <c r="J9" s="647"/>
      <c r="K9" s="647"/>
      <c r="L9" s="647"/>
      <c r="M9" s="647"/>
      <c r="N9" s="647"/>
      <c r="O9" s="647"/>
      <c r="P9" s="647"/>
      <c r="Q9" s="647"/>
      <c r="R9" s="648"/>
      <c r="S9" s="643" t="str">
        <f>"Avoided MWD Purchase 
 ($Million; NPV=$"&amp;ROUND(W54,3)&amp;")"</f>
        <v>Avoided MWD Purchase 
 ($Million; NPV=$395.836)</v>
      </c>
      <c r="T9" s="644"/>
      <c r="U9" s="644"/>
      <c r="V9" s="644"/>
      <c r="W9" s="644"/>
      <c r="X9" s="645"/>
      <c r="Y9" s="643" t="s">
        <v>52</v>
      </c>
      <c r="Z9" s="645"/>
      <c r="AA9" s="423"/>
      <c r="AH9" s="649" t="s">
        <v>53</v>
      </c>
      <c r="AI9" s="650"/>
      <c r="AJ9" s="28"/>
      <c r="AK9" s="651" t="s">
        <v>54</v>
      </c>
      <c r="AL9" s="652"/>
      <c r="AM9" s="652"/>
      <c r="AN9" s="653"/>
      <c r="AP9" s="654" t="s">
        <v>55</v>
      </c>
      <c r="AQ9" s="655"/>
      <c r="AS9" s="656" t="s">
        <v>56</v>
      </c>
      <c r="AT9" s="641"/>
      <c r="AU9" s="641"/>
      <c r="AV9" s="641"/>
      <c r="AW9" s="641"/>
      <c r="AX9" s="641"/>
      <c r="AY9" s="641"/>
      <c r="AZ9" s="641"/>
      <c r="BA9" s="641"/>
      <c r="BB9" s="642"/>
      <c r="BD9" s="654" t="s">
        <v>57</v>
      </c>
      <c r="BE9" s="655"/>
      <c r="BF9" s="5"/>
      <c r="BG9" s="656" t="s">
        <v>58</v>
      </c>
      <c r="BH9" s="641"/>
      <c r="BI9" s="641"/>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4" t="s">
        <v>75</v>
      </c>
      <c r="S10" s="513" t="s">
        <v>76</v>
      </c>
      <c r="T10" s="7" t="s">
        <v>77</v>
      </c>
      <c r="U10" s="91" t="s">
        <v>78</v>
      </c>
      <c r="V10" s="6" t="s">
        <v>79</v>
      </c>
      <c r="W10" s="6" t="s">
        <v>80</v>
      </c>
      <c r="X10" s="7" t="s">
        <v>81</v>
      </c>
      <c r="Y10" s="91" t="s">
        <v>82</v>
      </c>
      <c r="Z10" s="7" t="s">
        <v>83</v>
      </c>
      <c r="AA10" s="424" t="s">
        <v>507</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5">
        <f>'10 YEAR PROJECTION'!$H$55/1000000</f>
        <v>1.5</v>
      </c>
      <c r="D11" s="495"/>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4">
        <f>IF(NOT(EXACT(A11, "MP Complete")), INDEX(MP_new!$A$4:$J$9, MATCH(A11, MP_new!$A$4:$A$9, 0), 7), S10)</f>
        <v>0</v>
      </c>
      <c r="T11" s="493">
        <f>IF(EXACT($Q$5, "Yes"), IF(NOT(EXACT(A11, "MP Complete")), INDEX(MP_new!$A$4:$J$9, MATCH('Steps 1 thru 5'!A11, MP_new!$A$4:$A$9, 0), 10), T10), 0)</f>
        <v>0</v>
      </c>
      <c r="U11" s="2">
        <f>('NPV Summary'!$B$15-S11)+T11</f>
        <v>0</v>
      </c>
      <c r="V11" s="2">
        <f>LOOKUP(B11,AH11:AI61)</f>
        <v>1015</v>
      </c>
      <c r="W11" s="58">
        <f t="shared" ref="W11:W53" si="8">(U11*V11)/1000000</f>
        <v>0</v>
      </c>
      <c r="X11" s="59">
        <f>W11</f>
        <v>0</v>
      </c>
      <c r="Y11" s="12" t="s">
        <v>479</v>
      </c>
      <c r="Z11" s="12" t="s">
        <v>479</v>
      </c>
      <c r="AA11" s="425" t="s">
        <v>479</v>
      </c>
      <c r="AB11" s="516" t="s">
        <v>479</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5">
        <f>'10 YEAR PROJECTION'!$I$55/1000000</f>
        <v>2.2999999999999998</v>
      </c>
      <c r="D12" s="495"/>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4">
        <f>IF(NOT(EXACT(A12, "MP Complete")), INDEX(MP_new!$A$4:$J$9, MATCH(A12, MP_new!$A$4:$A$9, 0), 7) - 5000, IF(NOT(EXACT(A11, "MP Complete")), S11+5000, S11))</f>
        <v>-5000</v>
      </c>
      <c r="T12" s="493">
        <f>IF(EXACT($Q$5, "Yes"), IF(NOT(EXACT(A12, "MP Complete")), INDEX(MP_new!$A$4:$J$9, MATCH('Steps 1 thru 5'!A12,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5">
        <f>'10 YEAR PROJECTION'!$J$55/1000000</f>
        <v>3</v>
      </c>
      <c r="D13" s="495">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4">
        <f>IF(NOT(EXACT(A13, "MP Complete")), INDEX(MP_new!$A$4:$J$9, MATCH(A13, MP_new!$A$4:$A$9, 0), 7) - 5000, IF(NOT(EXACT(A12, "MP Complete")), S12+5000, S12))</f>
        <v>-5000</v>
      </c>
      <c r="T13" s="493">
        <f>IF(EXACT($Q$5, "Yes"), IF(NOT(EXACT(A13, "MP Complete")), INDEX(MP_new!$A$4:$J$9, MATCH('Steps 1 thru 5'!A13,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5">
        <f>'10 YEAR PROJECTION'!$K$55/1000000</f>
        <v>3.5</v>
      </c>
      <c r="D14" s="495">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4">
        <f>IF(NOT(EXACT(A14, "MP Complete")), INDEX(MP_new!$A$4:$J$9, MATCH(A14, MP_new!$A$4:$A$9, 0), 7) - 5000, IF(NOT(EXACT(A13, "MP Complete")), S13+5000, S13))</f>
        <v>-5000</v>
      </c>
      <c r="T14" s="493">
        <f>IF(EXACT($Q$5, "Yes"), IF(NOT(EXACT(A14, "MP Complete")), INDEX(MP_new!$A$4:$J$9, MATCH('Steps 1 thru 5'!A14,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5">
        <v>0</v>
      </c>
      <c r="D15" s="495">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4">
        <f>IF(NOT(EXACT(A15, "MP Complete")), INDEX(MP_new!$A$4:$J$9, MATCH(A15, MP_new!$A$4:$A$9, 0), 7) - 5000, IF(NOT(EXACT(A14, "MP Complete")), S14+5000, S14))</f>
        <v>-5000</v>
      </c>
      <c r="T15" s="493">
        <f>IF(EXACT($Q$5, "Yes"), IF(NOT(EXACT(A15, "MP Complete")), INDEX(MP_new!$A$4:$J$9, MATCH('Steps 1 thru 5'!A15,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5">
        <v>0</v>
      </c>
      <c r="D16" s="495">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4">
        <f>IF(NOT(EXACT(A16, "MP Complete")), INDEX(MP_new!$A$4:$J$9, MATCH(A16, MP_new!$A$4:$A$9, 0), 7) - 5000, IF(NOT(EXACT(A15, "MP Complete")), S15+5000, S15))</f>
        <v>-5000</v>
      </c>
      <c r="T16" s="493">
        <f>IF(EXACT($Q$5, "Yes"), IF(NOT(EXACT(A16, "MP Complete")), INDEX(MP_new!$A$4:$J$9, MATCH('Steps 1 thru 5'!A16,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5">
        <v>0</v>
      </c>
      <c r="D17" s="495">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4">
        <f>IF(NOT(EXACT(A17, "MP Complete")), INDEX(MP_new!$A$4:$J$9, MATCH(A17, MP_new!$A$4:$A$9, 0), 7) - 5000, IF(NOT(EXACT(A16, "MP Complete")), S16+5000, S16))</f>
        <v>-5000</v>
      </c>
      <c r="T17" s="493">
        <f>IF(EXACT($Q$5, "Yes"), IF(NOT(EXACT(A17, "MP Complete")), INDEX(MP_new!$A$4:$J$9, MATCH('Steps 1 thru 5'!A17,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5">
        <v>0</v>
      </c>
      <c r="D18" s="495">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4">
        <f>IF(NOT(EXACT(A18, "MP Complete")), INDEX(MP_new!$A$4:$J$9, MATCH(A18, MP_new!$A$4:$A$9, 0), 7) - 5000, IF(NOT(EXACT(A17, "MP Complete")), S17+5000, S17))</f>
        <v>-5000</v>
      </c>
      <c r="T18" s="493">
        <f>IF(EXACT($Q$5, "Yes"), IF(NOT(EXACT(A18, "MP Complete")), INDEX(MP_new!$A$4:$J$9, MATCH('Steps 1 thru 5'!A18,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5">
        <v>0</v>
      </c>
      <c r="D19" s="495">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4">
        <f>IF(NOT(EXACT(A19, "MP Complete")), INDEX(MP_new!$A$4:$J$9, MATCH(A19, MP_new!$A$4:$A$9, 0), 7) - 5000, IF(NOT(EXACT(A18, "MP Complete")), S18+5000, S18))</f>
        <v>-5000</v>
      </c>
      <c r="T19" s="493">
        <f>IF(EXACT($Q$5, "Yes"), IF(NOT(EXACT(A19, "MP Complete")), INDEX(MP_new!$A$4:$J$9, MATCH('Steps 1 thru 5'!A19,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5">
        <v>0</v>
      </c>
      <c r="D20" s="495">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4">
        <f>IF(NOT(EXACT(A20, "MP Complete")), INDEX(MP_new!$A$4:$J$9, MATCH(A20, MP_new!$A$4:$A$9, 0), 7) - 5000, IF(NOT(EXACT(A19, "MP Complete")), S19+5000, S19))</f>
        <v>-5000</v>
      </c>
      <c r="T20" s="493">
        <f>IF(EXACT($Q$5, "Yes"), IF(NOT(EXACT(A20, "MP Complete")), INDEX(MP_new!$A$4:$J$9, MATCH('Steps 1 thru 5'!A20,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5">
        <v>0</v>
      </c>
      <c r="D21" s="495">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4">
        <f>IF(NOT(EXACT(A21, "MP Complete")), INDEX(MP_new!$A$4:$J$9, MATCH(A21, MP_new!$A$4:$A$9, 0), 7) - 5000, IF(NOT(EXACT(A20, "MP Complete")), S20+5000, S20))</f>
        <v>-5000</v>
      </c>
      <c r="T21" s="493">
        <f>IF(EXACT($Q$5, "Yes"), IF(NOT(EXACT(A21, "MP Complete")), INDEX(MP_new!$A$4:$J$9, MATCH('Steps 1 thru 5'!A21,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5">
        <v>0</v>
      </c>
      <c r="D22" s="495">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4">
        <f>IF(NOT(EXACT(A22, "MP Complete")), INDEX(MP_new!$A$4:$J$9, MATCH(A22, MP_new!$A$4:$A$9, 0), 7) - 5000, IF(NOT(EXACT(A21, "MP Complete")), S21+5000, S21))</f>
        <v>-5000</v>
      </c>
      <c r="T22" s="493">
        <f>IF(EXACT($Q$5, "Yes"), IF(NOT(EXACT(A22, "MP Complete")), INDEX(MP_new!$A$4:$J$9, MATCH('Steps 1 thru 5'!A22,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5">
        <v>0</v>
      </c>
      <c r="D23" s="495">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4">
        <f>IF(NOT(EXACT(A23, "MP Complete")), INDEX(MP_new!$A$4:$J$9, MATCH(A23, MP_new!$A$4:$A$9, 0), 7) - 5000, IF(NOT(EXACT(A22, "MP Complete")), S22+5000, S22))</f>
        <v>-5000</v>
      </c>
      <c r="T23" s="493">
        <f>IF(EXACT($Q$5, "Yes"), IF(NOT(EXACT(A23, "MP Complete")), INDEX(MP_new!$A$4:$J$9, MATCH('Steps 1 thru 5'!A23,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f>IF(VLOOKUP(B24-1, 'Cost Analysis Input'!$B$2:$C$7, 2, TRUE) + 1 &lt;= $I$1, VLOOKUP(B24-1, 'Cost Analysis Input'!$B$2:$C$7, 2, TRUE) + 1, "MP Complete")</f>
        <v>5</v>
      </c>
      <c r="B24" s="83">
        <f t="shared" si="14"/>
        <v>2031</v>
      </c>
      <c r="C24" s="495">
        <v>0</v>
      </c>
      <c r="D24" s="495">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4">
        <f>IF(NOT(EXACT(A24, "MP Complete")), INDEX(MP_new!$A$4:$J$9, MATCH(A24, MP_new!$A$4:$A$9, 0), 7) - 5000, IF(NOT(EXACT(A23, "MP Complete")), S23+5000, S23))</f>
        <v>-5000</v>
      </c>
      <c r="T24" s="493">
        <f>IF(EXACT($Q$5, "Yes"), IF(NOT(EXACT(A24, "MP Complete")), INDEX(MP_new!$A$4:$J$9, MATCH('Steps 1 thru 5'!A24, MP_new!$A$4:$A$9, 0), 10), T22), 0)</f>
        <v>9000</v>
      </c>
      <c r="U24" s="65">
        <f>('NPV Summary'!$B$15-S24)+T24</f>
        <v>14000</v>
      </c>
      <c r="V24" s="65">
        <f>LOOKUP(B24,Rates!$A$5:$B$168)</f>
        <v>1603.9766649260607</v>
      </c>
      <c r="W24" s="56">
        <f t="shared" si="8"/>
        <v>22.455673308964847</v>
      </c>
      <c r="X24" s="57">
        <f t="shared" si="24"/>
        <v>225.03370966909949</v>
      </c>
      <c r="Y24" s="426">
        <f t="shared" si="25"/>
        <v>21.361720014661923</v>
      </c>
      <c r="Z24" s="426">
        <f t="shared" si="25"/>
        <v>203.76425264372344</v>
      </c>
      <c r="AA24" s="425">
        <f>IF(SUM(AA$11:AA23)&gt;0,0,IF(SUM(X24-R24)&gt;0,B24,0))</f>
        <v>0</v>
      </c>
      <c r="AB24" s="427">
        <f>ABS(Z24)*1000000/SUM(U$11:U24)</f>
        <v>1198.6132508454318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f>IF(VLOOKUP(B25-1, 'Cost Analysis Input'!$B$2:$C$7, 2, TRUE) + 1 &lt;= $I$1, VLOOKUP(B25-1, 'Cost Analysis Input'!$B$2:$C$7, 2, TRUE) + 1, "MP Complete")</f>
        <v>5</v>
      </c>
      <c r="B25" s="84">
        <f t="shared" si="14"/>
        <v>2032</v>
      </c>
      <c r="C25" s="495">
        <v>0</v>
      </c>
      <c r="D25" s="495">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4">
        <f>IF(NOT(EXACT(A25, "MP Complete")), INDEX(MP_new!$A$4:$J$9, MATCH(A25, MP_new!$A$4:$A$9, 0), 7) - 5000, IF(NOT(EXACT(A24, "MP Complete")), S24+5000, S24))</f>
        <v>-5000</v>
      </c>
      <c r="T25" s="493">
        <f>IF(EXACT($Q$5, "Yes"), IF(NOT(EXACT(A25, "MP Complete")), INDEX(MP_new!$A$4:$J$9, MATCH('Steps 1 thru 5'!A25, MP_new!$A$4:$A$9, 0), 10), T23), 0)</f>
        <v>9000</v>
      </c>
      <c r="U25" s="2">
        <f>('NPV Summary'!$B$15-S25)+T25</f>
        <v>14000</v>
      </c>
      <c r="V25" s="2">
        <f>LOOKUP(B25,Rates!$A$5:$B$168)</f>
        <v>1661.719824863399</v>
      </c>
      <c r="W25" s="58">
        <f t="shared" si="8"/>
        <v>23.264077548087585</v>
      </c>
      <c r="X25" s="59">
        <f t="shared" si="24"/>
        <v>248.29778721718708</v>
      </c>
      <c r="Y25" s="12">
        <f t="shared" si="25"/>
        <v>22.126366122012541</v>
      </c>
      <c r="Z25" s="12">
        <f t="shared" si="25"/>
        <v>225.89061876573598</v>
      </c>
      <c r="AA25" s="425">
        <f>IF(SUM(AA$11:AA24)&gt;0,0,IF(SUM(X25-R25)&gt;0,B25,0))</f>
        <v>0</v>
      </c>
      <c r="AB25" s="133">
        <f>ABS(Z25)*1000000/SUM(U$11:U25)</f>
        <v>1227.6664063355217</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f>IF(VLOOKUP(B26-1, 'Cost Analysis Input'!$B$2:$C$7, 2, TRUE) + 1 &lt;= $I$1, VLOOKUP(B26-1, 'Cost Analysis Input'!$B$2:$C$7, 2, TRUE) + 1, "MP Complete")</f>
        <v>5</v>
      </c>
      <c r="B26" s="83">
        <f t="shared" si="14"/>
        <v>2033</v>
      </c>
      <c r="C26" s="495">
        <f>'10 YEAR PROJECTION'!X$56/1000000</f>
        <v>0</v>
      </c>
      <c r="D26" s="495">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4">
        <f>IF(NOT(EXACT(A26, "MP Complete")), INDEX(MP_new!$A$4:$J$9, MATCH(A26, MP_new!$A$4:$A$9, 0), 7) - 5000, IF(NOT(EXACT(A25, "MP Complete")), S25+5000, S25))</f>
        <v>-5000</v>
      </c>
      <c r="T26" s="493">
        <f>IF(EXACT($Q$5, "Yes"), IF(NOT(EXACT(A26, "MP Complete")), INDEX(MP_new!$A$4:$J$9, MATCH('Steps 1 thru 5'!A26, MP_new!$A$4:$A$9, 0), 10), T24), 0)</f>
        <v>9000</v>
      </c>
      <c r="U26" s="65">
        <f>('NPV Summary'!$B$15-S26)+T26</f>
        <v>14000</v>
      </c>
      <c r="V26" s="65">
        <f>LOOKUP(B26,Rates!$A$5:$B$168)</f>
        <v>1721.5417385584815</v>
      </c>
      <c r="W26" s="56">
        <f t="shared" si="8"/>
        <v>24.101584339818743</v>
      </c>
      <c r="X26" s="57">
        <f t="shared" si="24"/>
        <v>272.39937155700579</v>
      </c>
      <c r="Y26" s="426">
        <f t="shared" si="25"/>
        <v>22.918364456700697</v>
      </c>
      <c r="Z26" s="426">
        <f t="shared" si="25"/>
        <v>248.80898322243667</v>
      </c>
      <c r="AA26" s="425">
        <f>IF(SUM(AA$11:AA25)&gt;0,0,IF(SUM(X26-R26)&gt;0,B26,0))</f>
        <v>0</v>
      </c>
      <c r="AB26" s="427">
        <f>ABS(Z26)*1000000/SUM(U$11:U26)</f>
        <v>1256.6110263759429</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5">
        <v>0</v>
      </c>
      <c r="D27" s="495">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4">
        <f>IF(NOT(EXACT(A27, "MP Complete")), INDEX(MP_new!$A$4:$J$9, MATCH(A27, MP_new!$A$4:$A$9, 0), 7) - 5000, IF(NOT(EXACT(A26, "MP Complete")), S26+5000, S26))</f>
        <v>0</v>
      </c>
      <c r="T27" s="493">
        <f>IF(EXACT($Q$5, "Yes"), IF(NOT(EXACT(A27, "MP Complete")), INDEX(MP_new!$A$4:$J$9, MATCH('Steps 1 thru 5'!A27, MP_new!$A$4:$A$9, 0), 10), T25), 0)</f>
        <v>9000</v>
      </c>
      <c r="U27" s="2">
        <f>('NPV Summary'!$B$15-S27)+T27</f>
        <v>9000</v>
      </c>
      <c r="V27" s="2">
        <f>LOOKUP(B27,Rates!$A$5:$B$168)</f>
        <v>1783.5172411465869</v>
      </c>
      <c r="W27" s="58">
        <f t="shared" si="8"/>
        <v>16.051655170319282</v>
      </c>
      <c r="X27" s="59">
        <f t="shared" si="24"/>
        <v>288.45102672732509</v>
      </c>
      <c r="Y27" s="12">
        <f t="shared" si="25"/>
        <v>14.821106491876517</v>
      </c>
      <c r="Z27" s="12">
        <f t="shared" si="25"/>
        <v>263.63008971431316</v>
      </c>
      <c r="AA27" s="425">
        <f>IF(SUM(AA$11:AA26)&gt;0,0,IF(SUM(X27-R27)&gt;0,B27,0))</f>
        <v>0</v>
      </c>
      <c r="AB27" s="133">
        <f>ABS(Z27)*1000000/SUM(U$11:U27)</f>
        <v>1273.5753126295322</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5">
        <v>0</v>
      </c>
      <c r="D28" s="495">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4">
        <f>IF(NOT(EXACT(A28, "MP Complete")), INDEX(MP_new!$A$4:$J$9, MATCH(A28, MP_new!$A$4:$A$9, 0), 7) - 5000, IF(NOT(EXACT(A27, "MP Complete")), S27+5000, S27))</f>
        <v>0</v>
      </c>
      <c r="T28" s="493">
        <f>IF(EXACT($Q$5, "Yes"), IF(NOT(EXACT(A28, "MP Complete")), INDEX(MP_new!$A$4:$J$9, MATCH('Steps 1 thru 5'!A28, MP_new!$A$4:$A$9, 0), 10), T26), 0)</f>
        <v>9000</v>
      </c>
      <c r="U28" s="65">
        <f>('NPV Summary'!$B$15-S28)+T28</f>
        <v>9000</v>
      </c>
      <c r="V28" s="65">
        <f>LOOKUP(B28,Rates!$A$5:$B$168)</f>
        <v>1847.7238618278641</v>
      </c>
      <c r="W28" s="56">
        <f t="shared" si="8"/>
        <v>16.629514756450774</v>
      </c>
      <c r="X28" s="57">
        <f t="shared" si="24"/>
        <v>305.08054148377585</v>
      </c>
      <c r="Y28" s="426">
        <f t="shared" si="25"/>
        <v>15.349744130870297</v>
      </c>
      <c r="Z28" s="426">
        <f t="shared" si="25"/>
        <v>278.97983384518346</v>
      </c>
      <c r="AA28" s="425">
        <f>IF(SUM(AA$11:AA27)&gt;0,0,IF(SUM(X28-R28)&gt;0,B28,0))</f>
        <v>0</v>
      </c>
      <c r="AB28" s="427">
        <f>ABS(Z28)*1000000/SUM(U$11:U28)</f>
        <v>1291.5733048388124</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5">
        <v>0</v>
      </c>
      <c r="D29" s="495">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4">
        <f>IF(NOT(EXACT(A29, "MP Complete")), INDEX(MP_new!$A$4:$J$9, MATCH(A29, MP_new!$A$4:$A$9, 0), 7) - 5000, IF(NOT(EXACT(A28, "MP Complete")), S28+5000, S28))</f>
        <v>0</v>
      </c>
      <c r="T29" s="493">
        <f>IF(EXACT($Q$5, "Yes"), IF(NOT(EXACT(A29, "MP Complete")), INDEX(MP_new!$A$4:$J$9, MATCH('Steps 1 thru 5'!A29, MP_new!$A$4:$A$9, 0), 10), T27), 0)</f>
        <v>9000</v>
      </c>
      <c r="U29" s="2">
        <f>('NPV Summary'!$B$15-S29)+T29</f>
        <v>9000</v>
      </c>
      <c r="V29" s="2">
        <f>LOOKUP(B29,Rates!$A$5:$B$168)</f>
        <v>1914.2419208536674</v>
      </c>
      <c r="W29" s="58">
        <f t="shared" si="8"/>
        <v>17.228177287683007</v>
      </c>
      <c r="X29" s="59">
        <f t="shared" si="24"/>
        <v>322.30871877145887</v>
      </c>
      <c r="Y29" s="12">
        <f t="shared" si="25"/>
        <v>15.89721583707931</v>
      </c>
      <c r="Z29" s="12">
        <f t="shared" si="25"/>
        <v>294.87704968226279</v>
      </c>
      <c r="AA29" s="425">
        <f>IF(SUM(AA$11:AA28)&gt;0,0,IF(SUM(X29-R29)&gt;0,B29,0))</f>
        <v>0</v>
      </c>
      <c r="AB29" s="133">
        <f>ABS(Z29)*1000000/SUM(U$11:U29)</f>
        <v>1310.5646652545013</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5">
        <v>0</v>
      </c>
      <c r="D30" s="495">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4">
        <f>IF(NOT(EXACT(A30, "MP Complete")), INDEX(MP_new!$A$4:$J$9, MATCH(A30, MP_new!$A$4:$A$9, 0), 7) - 5000, IF(NOT(EXACT(A29, "MP Complete")), S29+5000, S29))</f>
        <v>0</v>
      </c>
      <c r="T30" s="493">
        <f>IF(EXACT($Q$5, "Yes"), IF(NOT(EXACT(A30, "MP Complete")), INDEX(MP_new!$A$4:$J$9, MATCH('Steps 1 thru 5'!A30, MP_new!$A$4:$A$9, 0), 10), T28), 0)</f>
        <v>9000</v>
      </c>
      <c r="U30" s="65">
        <f>('NPV Summary'!$B$15-S30)+T30</f>
        <v>9000</v>
      </c>
      <c r="V30" s="65">
        <f>LOOKUP(B30,Rates!$A$5:$B$168)</f>
        <v>1983.1546300043995</v>
      </c>
      <c r="W30" s="56">
        <f t="shared" si="8"/>
        <v>17.848391670039593</v>
      </c>
      <c r="X30" s="57">
        <f t="shared" si="24"/>
        <v>340.15711044149845</v>
      </c>
      <c r="Y30" s="426">
        <f t="shared" si="25"/>
        <v>16.464191761411747</v>
      </c>
      <c r="Z30" s="426">
        <f t="shared" si="25"/>
        <v>311.34124144367451</v>
      </c>
      <c r="AA30" s="425">
        <f>IF(SUM(AA$11:AA29)&gt;0,0,IF(SUM(X30-R30)&gt;0,B30,0))</f>
        <v>0</v>
      </c>
      <c r="AB30" s="427">
        <f>ABS(Z30)*1000000/SUM(U$11:U30)</f>
        <v>1330.5181258276689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5">
        <v>0</v>
      </c>
      <c r="D31" s="495">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4">
        <f>IF(NOT(EXACT(A31, "MP Complete")), INDEX(MP_new!$A$4:$J$9, MATCH(A31, MP_new!$A$4:$A$9, 0), 7) - 5000, IF(NOT(EXACT(A30, "MP Complete")), S30+5000, S30))</f>
        <v>0</v>
      </c>
      <c r="T31" s="493">
        <f>IF(EXACT($Q$5, "Yes"), IF(NOT(EXACT(A31, "MP Complete")), INDEX(MP_new!$A$4:$J$9, MATCH('Steps 1 thru 5'!A31, MP_new!$A$4:$A$9, 0), 10), T29), 0)</f>
        <v>9000</v>
      </c>
      <c r="U31" s="2">
        <f>('NPV Summary'!$B$15-S31)+T31</f>
        <v>9000</v>
      </c>
      <c r="V31" s="2">
        <f>LOOKUP(B31,Rates!$A$5:$B$168)</f>
        <v>2054.5481966845578</v>
      </c>
      <c r="W31" s="58">
        <f t="shared" si="8"/>
        <v>18.490933770161021</v>
      </c>
      <c r="X31" s="59">
        <f t="shared" si="24"/>
        <v>358.64804421165945</v>
      </c>
      <c r="Y31" s="12">
        <f t="shared" si="25"/>
        <v>17.051365865188064</v>
      </c>
      <c r="Z31" s="12">
        <f t="shared" si="25"/>
        <v>328.39260730886258</v>
      </c>
      <c r="AA31" s="425">
        <f>IF(SUM(AA$11:AA30)&gt;0,0,IF(SUM(X31-R31)&gt;0,B31,0))</f>
        <v>0</v>
      </c>
      <c r="AB31" s="133">
        <f>ABS(Z31)*1000000/SUM(U$11:U31)</f>
        <v>1351.4099066208337</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5">
        <v>0</v>
      </c>
      <c r="D32" s="495">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4">
        <f>IF(NOT(EXACT(A32, "MP Complete")), INDEX(MP_new!$A$4:$J$9, MATCH(A32, MP_new!$A$4:$A$9, 0), 7) - 5000, IF(NOT(EXACT(A31, "MP Complete")), S31+5000, S31))</f>
        <v>0</v>
      </c>
      <c r="T32" s="493">
        <f>IF(EXACT($Q$5, "Yes"), IF(NOT(EXACT(A32, "MP Complete")), INDEX(MP_new!$A$4:$J$9, MATCH('Steps 1 thru 5'!A32, MP_new!$A$4:$A$9, 0), 10), T30), 0)</f>
        <v>9000</v>
      </c>
      <c r="U32" s="65">
        <f>('NPV Summary'!$B$15-S32)+T32</f>
        <v>9000</v>
      </c>
      <c r="V32" s="65">
        <f>LOOKUP(B32,Rates!$A$5:$B$168)</f>
        <v>2128.511931765202</v>
      </c>
      <c r="W32" s="56">
        <f t="shared" si="8"/>
        <v>19.156607385886819</v>
      </c>
      <c r="X32" s="57">
        <f t="shared" si="24"/>
        <v>377.8046515975463</v>
      </c>
      <c r="Y32" s="426">
        <f t="shared" si="25"/>
        <v>17.659456764714943</v>
      </c>
      <c r="Z32" s="426">
        <f t="shared" si="25"/>
        <v>346.05206407357753</v>
      </c>
      <c r="AA32" s="425">
        <f>IF(SUM(AA$11:AA31)&gt;0,0,IF(SUM(X32-R32)&gt;0,B32,0))</f>
        <v>0</v>
      </c>
      <c r="AB32" s="427">
        <f>ABS(Z32)*1000000/SUM(U$11:U32)</f>
        <v>1373.2224764824505</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5">
        <v>0</v>
      </c>
      <c r="D33" s="495">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4">
        <f>IF(NOT(EXACT(A33, "MP Complete")), INDEX(MP_new!$A$4:$J$9, MATCH(A33, MP_new!$A$4:$A$9, 0), 7) - 5000, IF(NOT(EXACT(A32, "MP Complete")), S32+5000, S32))</f>
        <v>0</v>
      </c>
      <c r="T33" s="493">
        <f>IF(EXACT($Q$5, "Yes"), IF(NOT(EXACT(A33, "MP Complete")), INDEX(MP_new!$A$4:$J$9, MATCH('Steps 1 thru 5'!A33, MP_new!$A$4:$A$9, 0), 10), T31), 0)</f>
        <v>9000</v>
      </c>
      <c r="U33" s="2">
        <f>('NPV Summary'!$B$15-S33)+T33</f>
        <v>9000</v>
      </c>
      <c r="V33" s="2">
        <f>LOOKUP(B33,Rates!$A$5:$B$168)</f>
        <v>2205.1383613087492</v>
      </c>
      <c r="W33" s="58">
        <f t="shared" si="8"/>
        <v>19.846245251778743</v>
      </c>
      <c r="X33" s="59">
        <f t="shared" si="24"/>
        <v>397.65089684932502</v>
      </c>
      <c r="Y33" s="12">
        <f t="shared" si="25"/>
        <v>18.289208605759992</v>
      </c>
      <c r="Z33" s="12">
        <f t="shared" si="25"/>
        <v>364.34127267933752</v>
      </c>
      <c r="AA33" s="425">
        <f>IF(SUM(AA$11:AA32)&gt;0,0,IF(SUM(X33-R33)&gt;0,B33,0))</f>
        <v>0</v>
      </c>
      <c r="AB33" s="133">
        <f>ABS(Z33)*1000000/SUM(U$11:U33)</f>
        <v>1395.9435734840517</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5">
        <v>0</v>
      </c>
      <c r="D34" s="495">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4">
        <f>IF(NOT(EXACT(A34, "MP Complete")), INDEX(MP_new!$A$4:$J$9, MATCH(A34, MP_new!$A$4:$A$9, 0), 7) - 5000, IF(NOT(EXACT(A33, "MP Complete")), S33+5000, S33))</f>
        <v>0</v>
      </c>
      <c r="T34" s="493">
        <f>IF(EXACT($Q$5, "Yes"), IF(NOT(EXACT(A34, "MP Complete")), INDEX(MP_new!$A$4:$J$9, MATCH('Steps 1 thru 5'!A34, MP_new!$A$4:$A$9, 0), 10), T32), 0)</f>
        <v>9000</v>
      </c>
      <c r="U34" s="65">
        <f>('NPV Summary'!$B$15-S34)+T34</f>
        <v>9000</v>
      </c>
      <c r="V34" s="65">
        <f>LOOKUP(B34,Rates!$A$5:$B$168)</f>
        <v>2284.5233423158643</v>
      </c>
      <c r="W34" s="56">
        <f t="shared" si="8"/>
        <v>20.560710080842778</v>
      </c>
      <c r="X34" s="57">
        <f t="shared" si="24"/>
        <v>418.21160693016782</v>
      </c>
      <c r="Y34" s="426">
        <f t="shared" si="25"/>
        <v>18.941391968983275</v>
      </c>
      <c r="Z34" s="426">
        <f t="shared" si="25"/>
        <v>383.2826646483208</v>
      </c>
      <c r="AA34" s="425">
        <f>IF(SUM(AA$11:AA33)&gt;0,0,IF(SUM(X34-R34)&gt;0,B34,0))</f>
        <v>0</v>
      </c>
      <c r="AB34" s="427">
        <f>ABS(Z34)*1000000/SUM(U$11:U34)</f>
        <v>1419.5654246234103</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5">
        <v>0</v>
      </c>
      <c r="D35" s="495">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4">
        <f>IF(NOT(EXACT(A35, "MP Complete")), INDEX(MP_new!$A$4:$J$9, MATCH(A35, MP_new!$A$4:$A$9, 0), 7) - 5000, IF(NOT(EXACT(A34, "MP Complete")), S34+5000, S34))</f>
        <v>0</v>
      </c>
      <c r="T35" s="493">
        <f>IF(EXACT($Q$5, "Yes"), IF(NOT(EXACT(A35, "MP Complete")), INDEX(MP_new!$A$4:$J$9, MATCH('Steps 1 thru 5'!A35, MP_new!$A$4:$A$9, 0), 10), T33), 0)</f>
        <v>9000</v>
      </c>
      <c r="U35" s="2">
        <f>('NPV Summary'!$B$15-S35)+T35</f>
        <v>9000</v>
      </c>
      <c r="V35" s="2">
        <f>LOOKUP(B35,Rates!$A$5:$B$168)</f>
        <v>2366.7661826392355</v>
      </c>
      <c r="W35" s="58">
        <f t="shared" si="8"/>
        <v>21.300895643753119</v>
      </c>
      <c r="X35" s="59">
        <f t="shared" si="24"/>
        <v>439.51250257392093</v>
      </c>
      <c r="Y35" s="12">
        <f t="shared" si="25"/>
        <v>19.616804807419236</v>
      </c>
      <c r="Z35" s="12">
        <f t="shared" si="25"/>
        <v>402.89946945574002</v>
      </c>
      <c r="AA35" s="425">
        <f>IF(SUM(AA$11:AA34)&gt;0,0,IF(SUM(X35-R35)&gt;0,B35,0))</f>
        <v>0</v>
      </c>
      <c r="AB35" s="133">
        <f>ABS(Z35)*1000000/SUM(U$11:U35)</f>
        <v>1444.0841199130466</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5">
        <v>0</v>
      </c>
      <c r="D36" s="495">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4">
        <f>IF(NOT(EXACT(A36, "MP Complete")), INDEX(MP_new!$A$4:$J$9, MATCH(A36, MP_new!$A$4:$A$9, 0), 7) - 5000, IF(NOT(EXACT(A35, "MP Complete")), S35+5000, S35))</f>
        <v>0</v>
      </c>
      <c r="T36" s="493">
        <f>IF(EXACT($Q$5, "Yes"), IF(NOT(EXACT(A36, "MP Complete")), INDEX(MP_new!$A$4:$J$9, MATCH('Steps 1 thru 5'!A36, MP_new!$A$4:$A$9, 0), 10), T34), 0)</f>
        <v>9000</v>
      </c>
      <c r="U36" s="65">
        <f>('NPV Summary'!$B$15-S36)+T36</f>
        <v>9000</v>
      </c>
      <c r="V36" s="65">
        <f>LOOKUP(B36,Rates!$A$5:$B$168)</f>
        <v>2451.9697652142481</v>
      </c>
      <c r="W36" s="56">
        <f t="shared" si="8"/>
        <v>22.067727886928235</v>
      </c>
      <c r="X36" s="57">
        <f t="shared" si="24"/>
        <v>461.58023046084918</v>
      </c>
      <c r="Y36" s="426">
        <f t="shared" si="25"/>
        <v>20.316273417140998</v>
      </c>
      <c r="Z36" s="426">
        <f t="shared" si="25"/>
        <v>423.21574287288104</v>
      </c>
      <c r="AA36" s="425">
        <f>IF(SUM(AA$11:AA35)&gt;0,0,IF(SUM(X36-R36)&gt;0,B36,0))</f>
        <v>0</v>
      </c>
      <c r="AB36" s="427">
        <f>ABS(Z36)*1000000/SUM(U$11:U36)</f>
        <v>1469.4991071975037</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5">
        <v>0</v>
      </c>
      <c r="D37" s="495">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4">
        <f>IF(NOT(EXACT(A37, "MP Complete")), INDEX(MP_new!$A$4:$J$9, MATCH(A37, MP_new!$A$4:$A$9, 0), 7) - 5000, IF(NOT(EXACT(A36, "MP Complete")), S36+5000, S36))</f>
        <v>0</v>
      </c>
      <c r="T37" s="493">
        <f>IF(EXACT($Q$5, "Yes"), IF(NOT(EXACT(A37, "MP Complete")), INDEX(MP_new!$A$4:$J$9, MATCH('Steps 1 thru 5'!A37, MP_new!$A$4:$A$9, 0), 10), T35), 0)</f>
        <v>9000</v>
      </c>
      <c r="U37" s="2">
        <f>('NPV Summary'!$B$15-S37)+T37</f>
        <v>9000</v>
      </c>
      <c r="V37" s="2">
        <f>LOOKUP(B37,Rates!$A$5:$B$168)</f>
        <v>2540.2406767619609</v>
      </c>
      <c r="W37" s="58">
        <f t="shared" si="8"/>
        <v>22.862166090857649</v>
      </c>
      <c r="X37" s="59">
        <f t="shared" si="24"/>
        <v>484.44239655170685</v>
      </c>
      <c r="Y37" s="12">
        <f t="shared" si="25"/>
        <v>21.040653442278924</v>
      </c>
      <c r="Z37" s="12">
        <f t="shared" si="25"/>
        <v>444.25639631516003</v>
      </c>
      <c r="AA37" s="425">
        <f>IF(SUM(AA$11:AA36)&gt;0,0,IF(SUM(X37-R37)&gt;0,B37,0))</f>
        <v>0</v>
      </c>
      <c r="AB37" s="133">
        <f>ABS(Z37)*1000000/SUM(U$11:U37)</f>
        <v>1495.8127822059259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5">
        <v>0</v>
      </c>
      <c r="D38" s="495">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4">
        <f>IF(NOT(EXACT(A38, "MP Complete")), INDEX(MP_new!$A$4:$J$9, MATCH(A38, MP_new!$A$4:$A$9, 0), 7) - 5000, IF(NOT(EXACT(A37, "MP Complete")), S37+5000, S37))</f>
        <v>0</v>
      </c>
      <c r="T38" s="493">
        <f>IF(EXACT($Q$5, "Yes"), IF(NOT(EXACT(A38, "MP Complete")), INDEX(MP_new!$A$4:$J$9, MATCH('Steps 1 thru 5'!A38, MP_new!$A$4:$A$9, 0), 10), T36), 0)</f>
        <v>9000</v>
      </c>
      <c r="U38" s="65">
        <f>('NPV Summary'!$B$15-S38)+T38</f>
        <v>9000</v>
      </c>
      <c r="V38" s="65">
        <f>LOOKUP(B38,Rates!$A$5:$B$168)</f>
        <v>2631.6893411253914</v>
      </c>
      <c r="W38" s="56">
        <f t="shared" si="8"/>
        <v>23.685204070128524</v>
      </c>
      <c r="X38" s="57">
        <f t="shared" si="24"/>
        <v>508.12760062183537</v>
      </c>
      <c r="Y38" s="426">
        <f t="shared" si="25"/>
        <v>21.790830915606648</v>
      </c>
      <c r="Z38" s="426">
        <f t="shared" si="25"/>
        <v>466.04722723076668</v>
      </c>
      <c r="AA38" s="425">
        <f>IF(SUM(AA$11:AA37)&gt;0,0,IF(SUM(X38-R38)&gt;0,B38,0))</f>
        <v>0</v>
      </c>
      <c r="AB38" s="427">
        <f>ABS(Z38)*1000000/SUM(U$11:U38)</f>
        <v>1523.0301543489106</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5">
        <v>0</v>
      </c>
      <c r="D39" s="495">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4">
        <f>IF(NOT(EXACT(A39, "MP Complete")), INDEX(MP_new!$A$4:$J$9, MATCH(A39, MP_new!$A$4:$A$9, 0), 7) - 5000, IF(NOT(EXACT(A38, "MP Complete")), S38+5000, S38))</f>
        <v>0</v>
      </c>
      <c r="T39" s="493">
        <f>IF(EXACT($Q$5, "Yes"), IF(NOT(EXACT(A39, "MP Complete")), INDEX(MP_new!$A$4:$J$9, MATCH('Steps 1 thru 5'!A39, MP_new!$A$4:$A$9, 0), 10), T37), 0)</f>
        <v>9000</v>
      </c>
      <c r="U39" s="2">
        <f>('NPV Summary'!$B$15-S39)+T39</f>
        <v>9000</v>
      </c>
      <c r="V39" s="2">
        <f>LOOKUP(B39,Rates!$A$5:$B$168)</f>
        <v>2726.4301574059054</v>
      </c>
      <c r="W39" s="58">
        <f t="shared" si="8"/>
        <v>24.53787141665315</v>
      </c>
      <c r="X39" s="59">
        <f t="shared" si="24"/>
        <v>532.66547203848847</v>
      </c>
      <c r="Y39" s="12">
        <f t="shared" si="25"/>
        <v>22.567723335950397</v>
      </c>
      <c r="Z39" s="12">
        <f t="shared" si="25"/>
        <v>488.61495056671703</v>
      </c>
      <c r="AA39" s="425">
        <f>IF(SUM(AA$11:AA38)&gt;0,0,IF(SUM(X39-R39)&gt;0,B39,0))</f>
        <v>0</v>
      </c>
      <c r="AB39" s="133">
        <f>ABS(Z39)*1000000/SUM(U$11:U39)</f>
        <v>1551.1585732276731</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5">
        <v>0</v>
      </c>
      <c r="D40" s="495">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4">
        <f>IF(NOT(EXACT(A40, "MP Complete")), INDEX(MP_new!$A$4:$J$9, MATCH(A40, MP_new!$A$4:$A$9, 0), 7) - 5000, IF(NOT(EXACT(A39, "MP Complete")), S39+5000, S39))</f>
        <v>0</v>
      </c>
      <c r="T40" s="493">
        <f>IF(EXACT($Q$5, "Yes"), IF(NOT(EXACT(A40, "MP Complete")), INDEX(MP_new!$A$4:$J$9, MATCH('Steps 1 thru 5'!A40, MP_new!$A$4:$A$9, 0), 10), T38), 0)</f>
        <v>9000</v>
      </c>
      <c r="U40" s="65">
        <f>('NPV Summary'!$B$15-S40)+T40</f>
        <v>9000</v>
      </c>
      <c r="V40" s="65">
        <f>LOOKUP(B40,Rates!$A$5:$B$168)</f>
        <v>2824.5816430725181</v>
      </c>
      <c r="W40" s="56">
        <f t="shared" si="8"/>
        <v>25.421234787652665</v>
      </c>
      <c r="X40" s="57">
        <f t="shared" si="24"/>
        <v>558.08670682614115</v>
      </c>
      <c r="Y40" s="426">
        <f t="shared" si="25"/>
        <v>23.372280783721806</v>
      </c>
      <c r="Z40" s="426">
        <f t="shared" si="25"/>
        <v>511.98723135043883</v>
      </c>
      <c r="AA40" s="425">
        <f>IF(SUM(AA$11:AA39)&gt;0,0,IF(SUM(X40-R40)&gt;0,B40,0))</f>
        <v>0</v>
      </c>
      <c r="AB40" s="427">
        <f>ABS(Z40)*1000000/SUM(U$11:U40)</f>
        <v>1580.2075041680212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5">
        <v>0</v>
      </c>
      <c r="D41" s="495">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4">
        <f>IF(NOT(EXACT(A41, "MP Complete")), INDEX(MP_new!$A$4:$J$9, MATCH(A41, MP_new!$A$4:$A$9, 0), 7) - 5000, IF(NOT(EXACT(A40, "MP Complete")), S40+5000, S40))</f>
        <v>0</v>
      </c>
      <c r="T41" s="493">
        <f>IF(EXACT($Q$5, "Yes"), IF(NOT(EXACT(A41, "MP Complete")), INDEX(MP_new!$A$4:$J$9, MATCH('Steps 1 thru 5'!A41, MP_new!$A$4:$A$9, 0), 10), T39), 0)</f>
        <v>9000</v>
      </c>
      <c r="U41" s="2">
        <f>('NPV Summary'!$B$15-S41)+T41</f>
        <v>9000</v>
      </c>
      <c r="V41" s="2">
        <f>LOOKUP(B41,Rates!$A$5:$B$168)</f>
        <v>2926.2665822231288</v>
      </c>
      <c r="W41" s="58">
        <f t="shared" si="8"/>
        <v>26.336399240008159</v>
      </c>
      <c r="X41" s="59">
        <f t="shared" si="24"/>
        <v>584.42310606614933</v>
      </c>
      <c r="Y41" s="12">
        <f t="shared" si="25"/>
        <v>24.205487075920065</v>
      </c>
      <c r="Z41" s="12">
        <f t="shared" si="25"/>
        <v>536.19271842635885</v>
      </c>
      <c r="AA41" s="425">
        <f>IF(SUM(AA$11:AA40)&gt;0,0,IF(SUM(X41-R41)&gt;0,B41,0))</f>
        <v>0</v>
      </c>
      <c r="AB41" s="133">
        <f>ABS(Z41)*1000000/SUM(U$11:U41)</f>
        <v>1610.1883436226992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5">
        <v>0</v>
      </c>
      <c r="D42" s="495">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4">
        <f>IF(NOT(EXACT(A42, "MP Complete")), INDEX(MP_new!$A$4:$J$9, MATCH(A42, MP_new!$A$4:$A$9, 0), 7) - 5000, IF(NOT(EXACT(A41, "MP Complete")), S41+5000, S41))</f>
        <v>0</v>
      </c>
      <c r="T42" s="493">
        <f>IF(EXACT($Q$5, "Yes"), IF(NOT(EXACT(A42, "MP Complete")), INDEX(MP_new!$A$4:$J$9, MATCH('Steps 1 thru 5'!A42, MP_new!$A$4:$A$9, 0), 10), T40), 0)</f>
        <v>9000</v>
      </c>
      <c r="U42" s="65">
        <f>('NPV Summary'!$B$15-S42)+T42</f>
        <v>9000</v>
      </c>
      <c r="V42" s="65">
        <f>LOOKUP(B42,Rates!$A$5:$B$168)</f>
        <v>3031.6121791831615</v>
      </c>
      <c r="W42" s="56">
        <f t="shared" si="8"/>
        <v>27.284509612648453</v>
      </c>
      <c r="X42" s="57">
        <f t="shared" si="24"/>
        <v>611.70761567879777</v>
      </c>
      <c r="Y42" s="426">
        <f t="shared" si="25"/>
        <v>25.068360961996834</v>
      </c>
      <c r="Z42" s="426">
        <f t="shared" si="25"/>
        <v>561.26107938835571</v>
      </c>
      <c r="AA42" s="425">
        <f>IF(SUM(AA$11:AA41)&gt;0,0,IF(SUM(X42-R42)&gt;0,B42,0))</f>
        <v>0</v>
      </c>
      <c r="AB42" s="427">
        <f>ABS(Z42)*1000000/SUM(U$11:U42)</f>
        <v>1641.1142672174144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5">
        <v>0</v>
      </c>
      <c r="D43" s="495">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4">
        <f>IF(NOT(EXACT(A43, "MP Complete")), INDEX(MP_new!$A$4:$J$9, MATCH(A43, MP_new!$A$4:$A$9, 0), 7) - 5000, IF(NOT(EXACT(A42, "MP Complete")), S42+5000, S42))</f>
        <v>0</v>
      </c>
      <c r="T43" s="493">
        <f>IF(EXACT($Q$5, "Yes"), IF(NOT(EXACT(A43, "MP Complete")), INDEX(MP_new!$A$4:$J$9, MATCH('Steps 1 thru 5'!A43, MP_new!$A$4:$A$9, 0), 10), T41), 0)</f>
        <v>9000</v>
      </c>
      <c r="U43" s="2">
        <f>('NPV Summary'!$B$15-S43)+T43</f>
        <v>9000</v>
      </c>
      <c r="V43" s="2">
        <f>LOOKUP(B43,Rates!$A$5:$B$168)</f>
        <v>3140.7502176337553</v>
      </c>
      <c r="W43" s="58">
        <f t="shared" si="8"/>
        <v>28.266751958703797</v>
      </c>
      <c r="X43" s="59">
        <f t="shared" si="24"/>
        <v>639.97436763750159</v>
      </c>
      <c r="Y43" s="12">
        <f t="shared" si="25"/>
        <v>25.961957362026112</v>
      </c>
      <c r="Z43" s="12">
        <f t="shared" si="25"/>
        <v>587.22303675038188</v>
      </c>
      <c r="AA43" s="425">
        <f>IF(SUM(AA$11:AA42)&gt;0,0,IF(SUM(X43-R43)&gt;0,B43,0))</f>
        <v>0</v>
      </c>
      <c r="AB43" s="133">
        <f>ABS(Z43)*1000000/SUM(U$11:U43)</f>
        <v>1673.0001047019425</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5">
        <v>0</v>
      </c>
      <c r="D44" s="495">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4">
        <f>IF(NOT(EXACT(A44, "MP Complete")), INDEX(MP_new!$A$4:$J$9, MATCH(A44, MP_new!$A$4:$A$9, 0), 7) - 5000, IF(NOT(EXACT(A43, "MP Complete")), S43+5000, S43))</f>
        <v>0</v>
      </c>
      <c r="T44" s="493">
        <f>IF(EXACT($Q$5, "Yes"), IF(NOT(EXACT(A44, "MP Complete")), INDEX(MP_new!$A$4:$J$9, MATCH('Steps 1 thru 5'!A44, MP_new!$A$4:$A$9, 0), 10), T42), 0)</f>
        <v>9000</v>
      </c>
      <c r="U44" s="65">
        <f>('NPV Summary'!$B$15-S44)+T44</f>
        <v>9000</v>
      </c>
      <c r="V44" s="65">
        <f>LOOKUP(B44,Rates!$A$5:$B$168)</f>
        <v>3253.8172254685705</v>
      </c>
      <c r="W44" s="56">
        <f t="shared" si="8"/>
        <v>29.284355029217135</v>
      </c>
      <c r="X44" s="57">
        <f t="shared" si="24"/>
        <v>669.25872266671877</v>
      </c>
      <c r="Y44" s="426">
        <f t="shared" si="25"/>
        <v>26.887368648672343</v>
      </c>
      <c r="Z44" s="426">
        <f t="shared" si="25"/>
        <v>614.11040539905423</v>
      </c>
      <c r="AA44" s="425">
        <f>IF(SUM(AA$11:AA43)&gt;0,0,IF(SUM(X44-R44)&gt;0,B44,0))</f>
        <v>0</v>
      </c>
      <c r="AB44" s="427">
        <f>ABS(Z44)*1000000/SUM(U$11:U44)</f>
        <v>1705.8622372195953</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5">
        <v>0</v>
      </c>
      <c r="D45" s="495">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4">
        <f>IF(NOT(EXACT(A45, "MP Complete")), INDEX(MP_new!$A$4:$J$9, MATCH(A45, MP_new!$A$4:$A$9, 0), 7) - 5000, IF(NOT(EXACT(A44, "MP Complete")), S44+5000, S44))</f>
        <v>0</v>
      </c>
      <c r="T45" s="493">
        <f>IF(EXACT($Q$5, "Yes"), IF(NOT(EXACT(A45, "MP Complete")), INDEX(MP_new!$A$4:$J$9, MATCH('Steps 1 thru 5'!A45, MP_new!$A$4:$A$9, 0), 10), T43), 0)</f>
        <v>9000</v>
      </c>
      <c r="U45" s="2">
        <f>('NPV Summary'!$B$15-S45)+T45</f>
        <v>9000</v>
      </c>
      <c r="V45" s="2">
        <f>LOOKUP(B45,Rates!$A$5:$B$168)</f>
        <v>3370.9546455854393</v>
      </c>
      <c r="W45" s="58">
        <f t="shared" si="8"/>
        <v>30.338591810268955</v>
      </c>
      <c r="X45" s="59">
        <f t="shared" si="24"/>
        <v>699.59731447698778</v>
      </c>
      <c r="Y45" s="12">
        <f t="shared" si="25"/>
        <v>27.845725974502372</v>
      </c>
      <c r="Z45" s="12">
        <f t="shared" si="25"/>
        <v>641.95613137355667</v>
      </c>
      <c r="AA45" s="425">
        <f>IF(SUM(AA$11:AA44)&gt;0,0,IF(SUM(X45-R45)&gt;0,B45,0))</f>
        <v>0</v>
      </c>
      <c r="AB45" s="133">
        <f>ABS(Z45)*1000000/SUM(U$11:U45)</f>
        <v>1739.7185132074706</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5">
        <v>0</v>
      </c>
      <c r="D46" s="495">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4">
        <f>IF(NOT(EXACT(A46, "MP Complete")), INDEX(MP_new!$A$4:$J$9, MATCH(A46, MP_new!$A$4:$A$9, 0), 7) - 5000, IF(NOT(EXACT(A45, "MP Complete")), S45+5000, S45))</f>
        <v>0</v>
      </c>
      <c r="T46" s="493">
        <f>IF(EXACT($Q$5, "Yes"), IF(NOT(EXACT(A46, "MP Complete")), INDEX(MP_new!$A$4:$J$9, MATCH('Steps 1 thru 5'!A46, MP_new!$A$4:$A$9, 0), 10), T44), 0)</f>
        <v>9000</v>
      </c>
      <c r="U46" s="65">
        <f>('NPV Summary'!$B$15-S46)+T46</f>
        <v>9000</v>
      </c>
      <c r="V46" s="65">
        <f>LOOKUP(B46,Rates!$A$5:$B$168)</f>
        <v>3492.3090128265153</v>
      </c>
      <c r="W46" s="56">
        <f t="shared" si="8"/>
        <v>31.430781115438638</v>
      </c>
      <c r="X46" s="57">
        <f t="shared" si="24"/>
        <v>731.02809559242644</v>
      </c>
      <c r="Y46" s="426">
        <f t="shared" si="25"/>
        <v>28.83820064624139</v>
      </c>
      <c r="Z46" s="426">
        <f t="shared" si="25"/>
        <v>670.79433201979805</v>
      </c>
      <c r="AA46" s="425">
        <f>IF(SUM(AA$11:AA45)&gt;0,0,IF(SUM(X46-R46)&gt;0,B46,0))</f>
        <v>0</v>
      </c>
      <c r="AB46" s="427">
        <f>ABS(Z46)*1000000/SUM(U$11:U46)</f>
        <v>1774.5881799465556</v>
      </c>
      <c r="AC46">
        <f>R46*1000000/SUM(U$11:U46)</f>
        <v>159.34858087996915</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5">
        <v>0</v>
      </c>
      <c r="D47" s="495">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4">
        <f>IF(NOT(EXACT(A47, "MP Complete")), INDEX(MP_new!$A$4:$J$9, MATCH(A47, MP_new!$A$4:$A$9, 0), 7) - 5000, IF(NOT(EXACT(A46, "MP Complete")), S46+5000, S46))</f>
        <v>0</v>
      </c>
      <c r="T47" s="493">
        <f>IF(EXACT($Q$5, "Yes"), IF(NOT(EXACT(A47, "MP Complete")), INDEX(MP_new!$A$4:$J$9, MATCH('Steps 1 thru 5'!A47, MP_new!$A$4:$A$9, 0), 10), T45), 0)</f>
        <v>9000</v>
      </c>
      <c r="U47" s="2">
        <f>('NPV Summary'!$B$15-S47)+T47</f>
        <v>9000</v>
      </c>
      <c r="V47" s="2">
        <f>LOOKUP(B47,Rates!$A$5:$B$168)</f>
        <v>3618.03213728827</v>
      </c>
      <c r="W47" s="58">
        <f t="shared" si="8"/>
        <v>32.562289235594427</v>
      </c>
      <c r="X47" s="59">
        <f t="shared" si="24"/>
        <v>763.59038482802089</v>
      </c>
      <c r="Y47" s="12">
        <f t="shared" si="25"/>
        <v>29.866005547629292</v>
      </c>
      <c r="Z47" s="12">
        <f t="shared" si="25"/>
        <v>700.6603375674274</v>
      </c>
      <c r="AA47" s="425">
        <f>IF(SUM(AA$11:AA46)&gt;0,0,IF(SUM(X47-R47)&gt;0,B47,0))</f>
        <v>0</v>
      </c>
      <c r="AB47" s="133">
        <f>ABS(Z47)*1000000/SUM(U$11:U47)</f>
        <v>1810.4918283396057</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5">
        <v>0</v>
      </c>
      <c r="D48" s="495">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4">
        <f>IF(NOT(EXACT(A48, "MP Complete")), INDEX(MP_new!$A$4:$J$9, MATCH(A48, MP_new!$A$4:$A$9, 0), 7) - 5000, IF(NOT(EXACT(A47, "MP Complete")), S47+5000, S47))</f>
        <v>0</v>
      </c>
      <c r="T48" s="493">
        <f>IF(EXACT($Q$5, "Yes"), IF(NOT(EXACT(A48, "MP Complete")), INDEX(MP_new!$A$4:$J$9, MATCH('Steps 1 thru 5'!A48, MP_new!$A$4:$A$9, 0), 10), T46), 0)</f>
        <v>9000</v>
      </c>
      <c r="U48" s="65">
        <f>('NPV Summary'!$B$15-S48)+T48</f>
        <v>9000</v>
      </c>
      <c r="V48" s="65">
        <f>LOOKUP(B48,Rates!$A$5:$B$168)</f>
        <v>3748.2812942306477</v>
      </c>
      <c r="W48" s="56">
        <f t="shared" si="8"/>
        <v>33.73453164807583</v>
      </c>
      <c r="X48" s="57">
        <f t="shared" si="24"/>
        <v>797.32491647609675</v>
      </c>
      <c r="Y48" s="426">
        <f t="shared" si="25"/>
        <v>30.930396612592087</v>
      </c>
      <c r="Z48" s="426">
        <f t="shared" si="25"/>
        <v>731.59073418001958</v>
      </c>
      <c r="AA48" s="425">
        <f>IF(SUM(AA$11:AA47)&gt;0,0,IF(SUM(X48-R48)&gt;0,B48,0))</f>
        <v>0</v>
      </c>
      <c r="AB48" s="427">
        <f>ABS(Z48)*1000000/SUM(U$11:U48)</f>
        <v>1847.4513489394435</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5">
        <v>0</v>
      </c>
      <c r="D49" s="495">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4">
        <f>IF(NOT(EXACT(A49, "MP Complete")), INDEX(MP_new!$A$4:$J$9, MATCH(A49, MP_new!$A$4:$A$9, 0), 7) - 5000, IF(NOT(EXACT(A48, "MP Complete")), S48+5000, S48))</f>
        <v>0</v>
      </c>
      <c r="T49" s="493">
        <f>IF(EXACT($Q$5, "Yes"), IF(NOT(EXACT(A49, "MP Complete")), INDEX(MP_new!$A$4:$J$9, MATCH('Steps 1 thru 5'!A49, MP_new!$A$4:$A$9, 0), 10), T47), 0)</f>
        <v>9000</v>
      </c>
      <c r="U49" s="2">
        <f>('NPV Summary'!$B$15-S49)+T49</f>
        <v>9000</v>
      </c>
      <c r="V49" s="2">
        <f>LOOKUP(B49,Rates!$A$5:$B$168)</f>
        <v>3883.2194208229512</v>
      </c>
      <c r="W49" s="58">
        <f t="shared" si="8"/>
        <v>34.948974787406563</v>
      </c>
      <c r="X49" s="59">
        <f>X48+W49</f>
        <v>832.27389126350329</v>
      </c>
      <c r="Y49" s="12">
        <f t="shared" si="25"/>
        <v>32.03267435050347</v>
      </c>
      <c r="Z49" s="12">
        <f t="shared" si="25"/>
        <v>763.62340853052297</v>
      </c>
      <c r="AA49" s="425">
        <f>IF(SUM(AA$11:AA48)&gt;0,0,IF(SUM(X49-R49)&gt;0,B49,0))</f>
        <v>0</v>
      </c>
      <c r="AB49" s="133">
        <f>ABS(Z49)*1000000/SUM(U$11:U49)</f>
        <v>1885.4898976062295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5">
        <v>0</v>
      </c>
      <c r="D50" s="495">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4">
        <f>IF(NOT(EXACT(A50, "MP Complete")), INDEX(MP_new!$A$4:$J$9, MATCH(A50, MP_new!$A$4:$A$9, 0), 7) - 5000, IF(NOT(EXACT(A49, "MP Complete")), S49+5000, S49))</f>
        <v>0</v>
      </c>
      <c r="T50" s="493">
        <f>IF(EXACT($Q$5, "Yes"), IF(NOT(EXACT(A50, "MP Complete")), INDEX(MP_new!$A$4:$J$9, MATCH('Steps 1 thru 5'!A50, MP_new!$A$4:$A$9, 0), 10), T48), 0)</f>
        <v>9000</v>
      </c>
      <c r="U50" s="65">
        <f>('NPV Summary'!$B$15-S50)+T50</f>
        <v>9000</v>
      </c>
      <c r="V50" s="65">
        <f>LOOKUP(B50,Rates!$A$5:$B$168)</f>
        <v>4023.0153199725773</v>
      </c>
      <c r="W50" s="56">
        <f t="shared" si="8"/>
        <v>36.207137879753198</v>
      </c>
      <c r="X50" s="60">
        <f t="shared" si="24"/>
        <v>868.48102914325648</v>
      </c>
      <c r="Y50" s="426">
        <f t="shared" si="25"/>
        <v>33.174185425373985</v>
      </c>
      <c r="Z50" s="426">
        <f t="shared" si="25"/>
        <v>796.7975939558969</v>
      </c>
      <c r="AA50" s="425">
        <f>IF(SUM(AA$11:AA49)&gt;0,0,IF(SUM(X50-R50)&gt;0,B50,0))</f>
        <v>0</v>
      </c>
      <c r="AB50" s="427">
        <f>ABS(Z50)*1000000/SUM(U$11:U50)</f>
        <v>1924.631869458688</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5">
        <v>0</v>
      </c>
      <c r="D51" s="495">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4">
        <f>IF(NOT(EXACT(A51, "MP Complete")), INDEX(MP_new!$A$4:$J$9, MATCH(A51, MP_new!$A$4:$A$9, 0), 7) - 5000, IF(NOT(EXACT(A50, "MP Complete")), S50+5000, S50))</f>
        <v>0</v>
      </c>
      <c r="T51" s="493">
        <f>IF(EXACT($Q$5, "Yes"), IF(NOT(EXACT(A51, "MP Complete")), INDEX(MP_new!$A$4:$J$9, MATCH('Steps 1 thru 5'!A51, MP_new!$A$4:$A$9, 0), 10), T49), 0)</f>
        <v>9000</v>
      </c>
      <c r="U51" s="2">
        <f>('NPV Summary'!$B$15-S51)+T51</f>
        <v>9000</v>
      </c>
      <c r="V51" s="2">
        <f>LOOKUP(B51,Rates!$A$5:$B$168)</f>
        <v>4167.8438714915901</v>
      </c>
      <c r="W51" s="58">
        <f t="shared" si="8"/>
        <v>37.510594843424315</v>
      </c>
      <c r="X51" s="59">
        <f t="shared" si="24"/>
        <v>905.99162398668079</v>
      </c>
      <c r="Y51" s="12">
        <f t="shared" si="25"/>
        <v>34.356324290869928</v>
      </c>
      <c r="Z51" s="12">
        <f t="shared" si="25"/>
        <v>831.15391824676692</v>
      </c>
      <c r="AA51" s="425">
        <f>IF(SUM(AA$11:AA50)&gt;0,0,IF(SUM(X51-R51)&gt;0,B51,0))</f>
        <v>0</v>
      </c>
      <c r="AB51" s="133">
        <f>ABS(Z51)*1000000/SUM(U$11:U51)</f>
        <v>1964.9028800159974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5">
        <v>0</v>
      </c>
      <c r="D52" s="495">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4">
        <f>IF(NOT(EXACT(A52, "MP Complete")), INDEX(MP_new!$A$4:$J$9, MATCH(A52, MP_new!$A$4:$A$9, 0), 7) - 5000, IF(NOT(EXACT(A51, "MP Complete")), S51+5000, S51))</f>
        <v>0</v>
      </c>
      <c r="T52" s="493">
        <f>IF(EXACT($Q$5, "Yes"), IF(NOT(EXACT(A52, "MP Complete")), INDEX(MP_new!$A$4:$J$9, MATCH('Steps 1 thru 5'!A52, MP_new!$A$4:$A$9, 0), 10), T50), 0)</f>
        <v>9000</v>
      </c>
      <c r="U52" s="65">
        <f>('NPV Summary'!$B$15-S52)+T52</f>
        <v>9000</v>
      </c>
      <c r="V52" s="65">
        <f>LOOKUP(B52,Rates!$A$5:$B$168)</f>
        <v>4317.8862508652874</v>
      </c>
      <c r="W52" s="56">
        <f t="shared" si="8"/>
        <v>38.860976257787584</v>
      </c>
      <c r="X52" s="57">
        <f t="shared" si="24"/>
        <v>944.85260024446836</v>
      </c>
      <c r="Y52" s="426">
        <f t="shared" si="25"/>
        <v>35.580534883131023</v>
      </c>
      <c r="Z52" s="426">
        <f t="shared" si="25"/>
        <v>866.73445312989793</v>
      </c>
      <c r="AA52" s="425">
        <f>IF(SUM(AA$11:AA51)&gt;0,0,IF(SUM(X52-R52)&gt;0,B52,0))</f>
        <v>0</v>
      </c>
      <c r="AB52" s="427">
        <f>ABS(Z52)*1000000/SUM(U$11:U52)</f>
        <v>2006.3297526155045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5">
        <v>0</v>
      </c>
      <c r="D53" s="495">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4">
        <f>IF(NOT(EXACT(A53, "MP Complete")), INDEX(MP_new!$A$4:$J$9, MATCH(A53, MP_new!$A$4:$A$9, 0), 7) - 5000, IF(NOT(EXACT(A52, "MP Complete")), S52+5000, S52))</f>
        <v>0</v>
      </c>
      <c r="T53" s="493">
        <f>IF(EXACT($Q$5, "Yes"), IF(NOT(EXACT(A53, "MP Complete")), INDEX(MP_new!$A$4:$J$9, MATCH('Steps 1 thru 5'!A53, MP_new!$A$4:$A$9, 0), 10), T51), 0)</f>
        <v>9000</v>
      </c>
      <c r="U53" s="2">
        <f>('NPV Summary'!$B$15-S53)+T53</f>
        <v>9000</v>
      </c>
      <c r="V53" s="2">
        <f>LOOKUP(B53,Rates!$A$5:$B$168)</f>
        <v>4473.3301558964376</v>
      </c>
      <c r="W53" s="58">
        <f t="shared" si="8"/>
        <v>40.259971403067937</v>
      </c>
      <c r="X53" s="59">
        <f>X52+W53</f>
        <v>985.11257164753624</v>
      </c>
      <c r="Y53" s="12">
        <f>W53-Q53</f>
        <v>36.848312373425117</v>
      </c>
      <c r="Z53" s="12">
        <f>X53-R53</f>
        <v>903.582765503323</v>
      </c>
      <c r="AA53" s="425">
        <f>IF(SUM(AA$11:AA52)&gt;0,0,IF(SUM(X53-R53)&gt;0,B53,0))</f>
        <v>0</v>
      </c>
      <c r="AB53" s="133">
        <f>ABS(Z53)*1000000/SUM(U$11:U53)</f>
        <v>2048.9405113454036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395.83625328263918</v>
      </c>
      <c r="X54" s="47" t="s">
        <v>30</v>
      </c>
      <c r="Y54" s="48">
        <f>IFERROR(IRR(Y11:Y53), 0)</f>
        <v>0</v>
      </c>
      <c r="AA54" s="430" t="s">
        <v>508</v>
      </c>
      <c r="AB54" s="431">
        <f>R53*1000000/SUM(U$11:U53)</f>
        <v>184.87484386442924</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57" t="s">
        <v>101</v>
      </c>
      <c r="B55" s="657"/>
      <c r="C55" s="657"/>
      <c r="D55" s="657"/>
      <c r="E55" s="657"/>
      <c r="F55" s="657"/>
      <c r="G55" s="657"/>
      <c r="H55" s="657"/>
      <c r="I55" s="657"/>
      <c r="J55" s="657"/>
      <c r="K55" s="657"/>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183"/>
  <sheetViews>
    <sheetView topLeftCell="A25" workbookViewId="0">
      <selection activeCell="G6" sqref="G6"/>
    </sheetView>
  </sheetViews>
  <sheetFormatPr defaultColWidth="8.85546875" defaultRowHeight="15" x14ac:dyDescent="0.25"/>
  <cols>
    <col min="1" max="1" width="19.42578125" style="136" customWidth="1"/>
    <col min="2" max="4" width="9.28515625" style="136" customWidth="1"/>
    <col min="5" max="6" width="14.42578125" style="136" customWidth="1"/>
    <col min="7" max="7" width="14" style="136" customWidth="1"/>
    <col min="8" max="8" width="16" style="371" customWidth="1"/>
    <col min="9" max="11" width="16" style="136" customWidth="1"/>
    <col min="12" max="13" width="27.7109375" style="136" customWidth="1"/>
    <col min="14" max="14" width="10.42578125" style="136" customWidth="1"/>
    <col min="15" max="15" width="5.7109375" style="136" customWidth="1"/>
    <col min="19" max="20" width="10.42578125" style="136" customWidth="1"/>
    <col min="21" max="21" width="10.42578125" style="372" customWidth="1"/>
    <col min="22" max="22" width="2.28515625" style="136" customWidth="1"/>
    <col min="23" max="23" width="10.42578125" style="136" customWidth="1"/>
    <col min="24" max="28" width="8.7109375" style="136" customWidth="1"/>
    <col min="29" max="29" width="5.28515625" style="136" customWidth="1"/>
    <col min="30" max="32" width="8.7109375" style="136" customWidth="1"/>
    <col min="33" max="33" width="11.140625" style="136" customWidth="1"/>
    <col min="34" max="34" width="8.7109375" style="13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36" customWidth="1"/>
    <col min="96" max="16384" width="8.85546875" style="136"/>
  </cols>
  <sheetData>
    <row r="1" spans="1:94" ht="12.75" customHeight="1" x14ac:dyDescent="0.25">
      <c r="CK1" s="136"/>
      <c r="CL1" s="136"/>
      <c r="CM1" s="136"/>
      <c r="CN1" s="136"/>
      <c r="CO1" s="136"/>
      <c r="CP1" s="136"/>
    </row>
    <row r="2" spans="1:94" ht="21.75" customHeight="1" x14ac:dyDescent="0.25">
      <c r="A2" s="373" t="s">
        <v>473</v>
      </c>
      <c r="B2" s="374" t="s">
        <v>126</v>
      </c>
      <c r="C2" s="374" t="s">
        <v>163</v>
      </c>
      <c r="D2" s="374" t="s">
        <v>474</v>
      </c>
      <c r="E2" s="374" t="s">
        <v>156</v>
      </c>
      <c r="F2" s="374" t="s">
        <v>154</v>
      </c>
      <c r="G2" s="375" t="s">
        <v>475</v>
      </c>
      <c r="H2" s="375" t="s">
        <v>476</v>
      </c>
      <c r="I2" s="375" t="s">
        <v>477</v>
      </c>
      <c r="J2" s="373" t="s">
        <v>518</v>
      </c>
      <c r="L2" s="136" t="s">
        <v>567</v>
      </c>
      <c r="CK2" s="136"/>
      <c r="CL2" s="136"/>
      <c r="CM2" s="136"/>
      <c r="CN2" s="136"/>
      <c r="CO2" s="136"/>
      <c r="CP2" s="136"/>
    </row>
    <row r="3" spans="1:94" ht="15" customHeight="1" x14ac:dyDescent="0.25">
      <c r="A3" s="376" t="s">
        <v>50</v>
      </c>
      <c r="B3" s="377"/>
      <c r="C3" s="377"/>
      <c r="D3" s="377"/>
      <c r="E3" s="377"/>
      <c r="F3" s="377"/>
      <c r="G3" s="377"/>
      <c r="H3" s="378" t="s">
        <v>479</v>
      </c>
      <c r="I3" s="378" t="s">
        <v>479</v>
      </c>
      <c r="J3" s="436">
        <v>0</v>
      </c>
      <c r="L3" s="379" t="s">
        <v>480</v>
      </c>
      <c r="M3" s="379"/>
      <c r="CK3" s="136"/>
      <c r="CL3" s="136"/>
      <c r="CM3" s="136"/>
      <c r="CN3" s="136"/>
      <c r="CO3" s="136"/>
      <c r="CP3" s="136"/>
    </row>
    <row r="4" spans="1:94" x14ac:dyDescent="0.25">
      <c r="A4" s="376">
        <v>0</v>
      </c>
      <c r="B4" s="377"/>
      <c r="C4" s="377"/>
      <c r="D4" s="377"/>
      <c r="E4" s="377"/>
      <c r="F4" s="377"/>
      <c r="G4" s="377"/>
      <c r="H4" s="382" t="s">
        <v>479</v>
      </c>
      <c r="I4" s="378" t="s">
        <v>479</v>
      </c>
      <c r="J4" s="436">
        <v>0</v>
      </c>
      <c r="L4" s="435" t="s">
        <v>519</v>
      </c>
      <c r="M4" s="435"/>
      <c r="CK4" s="136"/>
      <c r="CL4" s="136"/>
      <c r="CM4" s="136"/>
      <c r="CN4" s="136"/>
      <c r="CO4" s="136"/>
      <c r="CP4" s="136"/>
    </row>
    <row r="5" spans="1:94" x14ac:dyDescent="0.25">
      <c r="A5" s="376">
        <v>1</v>
      </c>
      <c r="B5" s="377"/>
      <c r="C5" s="377"/>
      <c r="D5" s="377"/>
      <c r="E5" s="377"/>
      <c r="F5" s="377"/>
      <c r="G5" s="377"/>
      <c r="H5" s="385">
        <f>SUMIFS($C$22:$C$181, $H$22:$H$181, "="&amp;$A5,$I$22:$I$181, "hard")</f>
        <v>0</v>
      </c>
      <c r="I5" s="385">
        <f>SUMIFS($C$22:$C$181, $H$22:$H$181, "="&amp;$A5,$I$22:$I$181, "soft")</f>
        <v>0</v>
      </c>
      <c r="J5" s="436">
        <v>5000</v>
      </c>
      <c r="L5" s="383" t="s">
        <v>483</v>
      </c>
      <c r="M5" s="384"/>
      <c r="CK5" s="136"/>
      <c r="CL5" s="136"/>
      <c r="CM5" s="136"/>
      <c r="CN5" s="136"/>
      <c r="CO5" s="136"/>
      <c r="CP5" s="136"/>
    </row>
    <row r="6" spans="1:94" x14ac:dyDescent="0.25">
      <c r="A6" s="376">
        <v>2</v>
      </c>
      <c r="B6" s="377"/>
      <c r="C6" s="377"/>
      <c r="D6" s="377"/>
      <c r="E6" s="377"/>
      <c r="F6" s="377"/>
      <c r="G6" s="377"/>
      <c r="H6" s="385">
        <f>SUMIFS($C$22:$C$181, $H$22:$H$181, "="&amp;$A6,$I$22:$I$181, "hard")</f>
        <v>0</v>
      </c>
      <c r="I6" s="385">
        <f>SUMIFS($C$22:$C$181, $H$22:$H$181, "="&amp;$A6,$I$22:$I$181, "soft")</f>
        <v>0</v>
      </c>
      <c r="J6" s="436">
        <v>9000</v>
      </c>
      <c r="L6" s="386" t="s">
        <v>485</v>
      </c>
      <c r="M6" s="387"/>
      <c r="CK6" s="136"/>
      <c r="CL6" s="136"/>
      <c r="CM6" s="136"/>
      <c r="CN6" s="136"/>
      <c r="CO6" s="136"/>
      <c r="CP6" s="136"/>
    </row>
    <row r="7" spans="1:94" x14ac:dyDescent="0.25">
      <c r="A7" s="376">
        <v>3</v>
      </c>
      <c r="B7" s="377"/>
      <c r="C7" s="377"/>
      <c r="D7" s="377"/>
      <c r="E7" s="377"/>
      <c r="F7" s="377"/>
      <c r="G7" s="377"/>
      <c r="H7" s="385">
        <f>SUMIFS($C$22:$C$181, $H$22:$H$181, "="&amp;$A7,$I$22:$I$181, "hard")</f>
        <v>0</v>
      </c>
      <c r="I7" s="385">
        <f>SUMIFS($C$22:$C$181, $H$22:$H$181, "="&amp;$A7,$I$22:$I$181, "soft")</f>
        <v>0</v>
      </c>
      <c r="J7" s="436">
        <v>9000</v>
      </c>
      <c r="CK7" s="136"/>
      <c r="CL7" s="136"/>
      <c r="CM7" s="136"/>
      <c r="CN7" s="136"/>
      <c r="CO7" s="136"/>
      <c r="CP7" s="136"/>
    </row>
    <row r="8" spans="1:94" x14ac:dyDescent="0.25">
      <c r="A8" s="376">
        <v>4</v>
      </c>
      <c r="B8" s="377"/>
      <c r="C8" s="377"/>
      <c r="D8" s="377"/>
      <c r="E8" s="377"/>
      <c r="F8" s="377"/>
      <c r="G8" s="377"/>
      <c r="H8" s="385">
        <f>SUMIFS($C$22:$C$181, $H$22:$H$181, "="&amp;$A8,$I$22:$I$181, "hard")</f>
        <v>0</v>
      </c>
      <c r="I8" s="385">
        <f>SUMIFS($C$22:$C$181, $H$22:$H$181, "="&amp;$A8,$I$22:$I$181, "soft")</f>
        <v>0</v>
      </c>
      <c r="J8" s="436">
        <v>9000</v>
      </c>
      <c r="CK8" s="136"/>
      <c r="CL8" s="136"/>
      <c r="CM8" s="136"/>
      <c r="CN8" s="136"/>
      <c r="CO8" s="136"/>
      <c r="CP8" s="136"/>
    </row>
    <row r="9" spans="1:94" x14ac:dyDescent="0.25">
      <c r="A9" s="376">
        <v>5</v>
      </c>
      <c r="B9" s="377"/>
      <c r="C9" s="377"/>
      <c r="D9" s="377"/>
      <c r="E9" s="377"/>
      <c r="F9" s="377"/>
      <c r="G9" s="377"/>
      <c r="H9" s="385">
        <f>SUMIFS($C$22:$C$181, $H$22:$H$181, "="&amp;$A9,$I$22:$I$181, "hard")</f>
        <v>0</v>
      </c>
      <c r="I9" s="385">
        <f>SUMIFS($C$22:$C$181, $H$22:$H$181, "="&amp;$A9,$I$22:$I$181, "soft")</f>
        <v>0</v>
      </c>
      <c r="J9" s="436">
        <v>9000</v>
      </c>
      <c r="CK9" s="136"/>
      <c r="CL9" s="136"/>
      <c r="CM9" s="136"/>
      <c r="CN9" s="136"/>
      <c r="CO9" s="136"/>
      <c r="CP9" s="136"/>
    </row>
    <row r="10" spans="1:94" x14ac:dyDescent="0.25">
      <c r="A10" s="390"/>
      <c r="B10" s="391"/>
      <c r="C10" s="392"/>
      <c r="D10" s="392"/>
      <c r="E10" s="392"/>
      <c r="F10" s="392"/>
      <c r="G10" s="393"/>
      <c r="H10" s="394"/>
      <c r="I10" s="395"/>
      <c r="CK10" s="136"/>
      <c r="CL10" s="136"/>
      <c r="CM10" s="136"/>
      <c r="CN10" s="136"/>
      <c r="CO10" s="136"/>
      <c r="CP10" s="136"/>
    </row>
    <row r="11" spans="1:94" ht="33" customHeight="1" x14ac:dyDescent="0.25">
      <c r="A11" s="373" t="s">
        <v>473</v>
      </c>
      <c r="B11" s="374" t="s">
        <v>126</v>
      </c>
      <c r="C11" s="374" t="s">
        <v>163</v>
      </c>
      <c r="D11" s="374" t="s">
        <v>474</v>
      </c>
      <c r="E11" s="374" t="s">
        <v>156</v>
      </c>
      <c r="F11" s="374" t="s">
        <v>154</v>
      </c>
      <c r="G11" s="396" t="s">
        <v>488</v>
      </c>
      <c r="H11" s="373" t="s">
        <v>559</v>
      </c>
      <c r="I11" s="373" t="s">
        <v>560</v>
      </c>
      <c r="J11" s="373" t="s">
        <v>558</v>
      </c>
      <c r="K11" s="373" t="s">
        <v>561</v>
      </c>
      <c r="CK11" s="136"/>
      <c r="CL11" s="136"/>
      <c r="CM11" s="136"/>
      <c r="CN11" s="136"/>
      <c r="CO11" s="136"/>
      <c r="CP11" s="136"/>
    </row>
    <row r="12" spans="1:94" ht="18" customHeight="1" x14ac:dyDescent="0.25">
      <c r="A12" s="376" t="s">
        <v>50</v>
      </c>
      <c r="B12" s="397" t="e">
        <f t="shared" ref="B12:G18" si="0">B3/B$3</f>
        <v>#DIV/0!</v>
      </c>
      <c r="C12" s="397" t="e">
        <f t="shared" si="0"/>
        <v>#DIV/0!</v>
      </c>
      <c r="D12" s="397" t="e">
        <f t="shared" si="0"/>
        <v>#DIV/0!</v>
      </c>
      <c r="E12" s="397" t="e">
        <f t="shared" si="0"/>
        <v>#DIV/0!</v>
      </c>
      <c r="F12" s="397" t="e">
        <f t="shared" si="0"/>
        <v>#DIV/0!</v>
      </c>
      <c r="G12" s="397" t="e">
        <f t="shared" si="0"/>
        <v>#DIV/0!</v>
      </c>
      <c r="H12" s="467">
        <f>G$3-G3</f>
        <v>0</v>
      </c>
      <c r="I12" s="467">
        <f>H12</f>
        <v>0</v>
      </c>
      <c r="J12" s="467">
        <f>G3-G3 -J3</f>
        <v>0</v>
      </c>
      <c r="K12" s="467">
        <f>J12</f>
        <v>0</v>
      </c>
      <c r="CK12" s="136"/>
      <c r="CL12" s="136"/>
      <c r="CM12" s="136"/>
      <c r="CN12" s="136"/>
      <c r="CO12" s="136"/>
      <c r="CP12" s="136"/>
    </row>
    <row r="13" spans="1:94" ht="18" customHeight="1" x14ac:dyDescent="0.25">
      <c r="A13" s="376">
        <v>0</v>
      </c>
      <c r="B13" s="397" t="e">
        <f t="shared" si="0"/>
        <v>#DIV/0!</v>
      </c>
      <c r="C13" s="397" t="e">
        <f t="shared" si="0"/>
        <v>#DIV/0!</v>
      </c>
      <c r="D13" s="397" t="e">
        <f t="shared" si="0"/>
        <v>#DIV/0!</v>
      </c>
      <c r="E13" s="397" t="e">
        <f>E4/E$3</f>
        <v>#DIV/0!</v>
      </c>
      <c r="F13" s="397" t="e">
        <f t="shared" si="0"/>
        <v>#DIV/0!</v>
      </c>
      <c r="G13" s="397" t="e">
        <f t="shared" si="0"/>
        <v>#DIV/0!</v>
      </c>
      <c r="H13" s="467">
        <f t="shared" ref="H13:H18" si="1">$G3-$G4</f>
        <v>0</v>
      </c>
      <c r="I13" s="467">
        <v>0</v>
      </c>
      <c r="J13" s="467">
        <f t="shared" ref="J13:J18" si="2">G3-(G4 -J4)</f>
        <v>0</v>
      </c>
      <c r="K13" s="467">
        <v>0</v>
      </c>
      <c r="CK13" s="136"/>
      <c r="CL13" s="136"/>
      <c r="CM13" s="136"/>
      <c r="CN13" s="136"/>
      <c r="CO13" s="136"/>
      <c r="CP13" s="136"/>
    </row>
    <row r="14" spans="1:94" ht="18" customHeight="1" x14ac:dyDescent="0.25">
      <c r="A14" s="376">
        <v>1</v>
      </c>
      <c r="B14" s="397" t="e">
        <f t="shared" si="0"/>
        <v>#DIV/0!</v>
      </c>
      <c r="C14" s="397" t="e">
        <f t="shared" si="0"/>
        <v>#DIV/0!</v>
      </c>
      <c r="D14" s="397" t="e">
        <f t="shared" si="0"/>
        <v>#DIV/0!</v>
      </c>
      <c r="E14" s="397" t="e">
        <f t="shared" si="0"/>
        <v>#DIV/0!</v>
      </c>
      <c r="F14" s="397" t="e">
        <f t="shared" si="0"/>
        <v>#DIV/0!</v>
      </c>
      <c r="G14" s="397" t="e">
        <f t="shared" si="0"/>
        <v>#DIV/0!</v>
      </c>
      <c r="H14" s="467">
        <f t="shared" si="1"/>
        <v>0</v>
      </c>
      <c r="I14" s="467">
        <f>SUM(H$14:H14)</f>
        <v>0</v>
      </c>
      <c r="J14" s="467">
        <f t="shared" si="2"/>
        <v>5000</v>
      </c>
      <c r="K14" s="467">
        <f>SUM(H$14:H14)+J5</f>
        <v>5000</v>
      </c>
      <c r="CK14" s="136"/>
      <c r="CL14" s="136"/>
      <c r="CM14" s="136"/>
      <c r="CN14" s="136"/>
      <c r="CO14" s="136"/>
      <c r="CP14" s="136"/>
    </row>
    <row r="15" spans="1:94" ht="18" customHeight="1" x14ac:dyDescent="0.25">
      <c r="A15" s="376">
        <v>2</v>
      </c>
      <c r="B15" s="397" t="e">
        <f t="shared" si="0"/>
        <v>#DIV/0!</v>
      </c>
      <c r="C15" s="397" t="e">
        <f t="shared" si="0"/>
        <v>#DIV/0!</v>
      </c>
      <c r="D15" s="397" t="e">
        <f t="shared" si="0"/>
        <v>#DIV/0!</v>
      </c>
      <c r="E15" s="397" t="e">
        <f t="shared" si="0"/>
        <v>#DIV/0!</v>
      </c>
      <c r="F15" s="397" t="e">
        <f t="shared" si="0"/>
        <v>#DIV/0!</v>
      </c>
      <c r="G15" s="397" t="e">
        <f t="shared" si="0"/>
        <v>#DIV/0!</v>
      </c>
      <c r="H15" s="467">
        <f t="shared" si="1"/>
        <v>0</v>
      </c>
      <c r="I15" s="467">
        <f>SUM(H$14:H15)</f>
        <v>0</v>
      </c>
      <c r="J15" s="467">
        <f t="shared" si="2"/>
        <v>9000</v>
      </c>
      <c r="K15" s="467">
        <f>SUM(H$14:H15)+J6</f>
        <v>9000</v>
      </c>
      <c r="CK15" s="136"/>
      <c r="CL15" s="136"/>
      <c r="CM15" s="136"/>
      <c r="CN15" s="136"/>
      <c r="CO15" s="136"/>
      <c r="CP15" s="136"/>
    </row>
    <row r="16" spans="1:94" ht="18" customHeight="1" x14ac:dyDescent="0.25">
      <c r="A16" s="376">
        <v>3</v>
      </c>
      <c r="B16" s="397" t="e">
        <f t="shared" si="0"/>
        <v>#DIV/0!</v>
      </c>
      <c r="C16" s="397" t="e">
        <f t="shared" si="0"/>
        <v>#DIV/0!</v>
      </c>
      <c r="D16" s="397" t="e">
        <f t="shared" si="0"/>
        <v>#DIV/0!</v>
      </c>
      <c r="E16" s="397" t="e">
        <f t="shared" si="0"/>
        <v>#DIV/0!</v>
      </c>
      <c r="F16" s="397" t="e">
        <f t="shared" si="0"/>
        <v>#DIV/0!</v>
      </c>
      <c r="G16" s="397" t="e">
        <f t="shared" si="0"/>
        <v>#DIV/0!</v>
      </c>
      <c r="H16" s="467">
        <f t="shared" si="1"/>
        <v>0</v>
      </c>
      <c r="I16" s="467">
        <f>SUM(H$14:H16)</f>
        <v>0</v>
      </c>
      <c r="J16" s="467">
        <f t="shared" si="2"/>
        <v>9000</v>
      </c>
      <c r="K16" s="467">
        <f>SUM(H$14:H16)+J7</f>
        <v>9000</v>
      </c>
      <c r="CK16" s="136"/>
      <c r="CL16" s="136"/>
      <c r="CM16" s="136"/>
      <c r="CN16" s="136"/>
      <c r="CO16" s="136"/>
      <c r="CP16" s="136"/>
    </row>
    <row r="17" spans="1:94" ht="18" customHeight="1" x14ac:dyDescent="0.25">
      <c r="A17" s="376">
        <v>4</v>
      </c>
      <c r="B17" s="397" t="e">
        <f t="shared" si="0"/>
        <v>#DIV/0!</v>
      </c>
      <c r="C17" s="397" t="e">
        <f t="shared" si="0"/>
        <v>#DIV/0!</v>
      </c>
      <c r="D17" s="397" t="e">
        <f t="shared" si="0"/>
        <v>#DIV/0!</v>
      </c>
      <c r="E17" s="397" t="e">
        <f t="shared" si="0"/>
        <v>#DIV/0!</v>
      </c>
      <c r="F17" s="397" t="e">
        <f t="shared" si="0"/>
        <v>#DIV/0!</v>
      </c>
      <c r="G17" s="397" t="e">
        <f t="shared" si="0"/>
        <v>#DIV/0!</v>
      </c>
      <c r="H17" s="467">
        <f t="shared" si="1"/>
        <v>0</v>
      </c>
      <c r="I17" s="467">
        <f>SUM(H$14:H17)</f>
        <v>0</v>
      </c>
      <c r="J17" s="467">
        <f t="shared" si="2"/>
        <v>9000</v>
      </c>
      <c r="K17" s="467">
        <f>SUM(H$14:H17)+J8</f>
        <v>9000</v>
      </c>
      <c r="CK17" s="136"/>
      <c r="CL17" s="136"/>
      <c r="CM17" s="136"/>
      <c r="CN17" s="136"/>
      <c r="CO17" s="136"/>
      <c r="CP17" s="136"/>
    </row>
    <row r="18" spans="1:94" ht="18" customHeight="1" x14ac:dyDescent="0.25">
      <c r="A18" s="376">
        <v>5</v>
      </c>
      <c r="B18" s="397" t="e">
        <f t="shared" si="0"/>
        <v>#DIV/0!</v>
      </c>
      <c r="C18" s="397" t="e">
        <f t="shared" si="0"/>
        <v>#DIV/0!</v>
      </c>
      <c r="D18" s="397" t="e">
        <f t="shared" si="0"/>
        <v>#DIV/0!</v>
      </c>
      <c r="E18" s="397" t="e">
        <f t="shared" si="0"/>
        <v>#DIV/0!</v>
      </c>
      <c r="F18" s="397" t="e">
        <f t="shared" si="0"/>
        <v>#DIV/0!</v>
      </c>
      <c r="G18" s="397" t="e">
        <f t="shared" si="0"/>
        <v>#DIV/0!</v>
      </c>
      <c r="H18" s="467">
        <f t="shared" si="1"/>
        <v>0</v>
      </c>
      <c r="I18" s="467">
        <f>SUM(H$14:H18)</f>
        <v>0</v>
      </c>
      <c r="J18" s="467">
        <f t="shared" si="2"/>
        <v>9000</v>
      </c>
      <c r="K18" s="467">
        <f>SUM(H$14:H18)+J9</f>
        <v>9000</v>
      </c>
      <c r="CK18" s="136"/>
      <c r="CL18" s="136"/>
      <c r="CM18" s="136"/>
      <c r="CN18" s="136"/>
      <c r="CO18" s="136"/>
      <c r="CP18" s="136"/>
    </row>
    <row r="19" spans="1:94" ht="12.75" customHeight="1" x14ac:dyDescent="0.25">
      <c r="L19" s="400"/>
      <c r="CK19" s="136"/>
      <c r="CL19" s="136"/>
      <c r="CM19" s="136"/>
      <c r="CN19" s="136"/>
      <c r="CO19" s="136"/>
      <c r="CP19" s="136"/>
    </row>
    <row r="20" spans="1:94" ht="15.75" customHeight="1" x14ac:dyDescent="0.25">
      <c r="A20" s="401"/>
      <c r="B20" s="401"/>
      <c r="C20" s="401"/>
      <c r="I20" s="402"/>
      <c r="J20" s="402"/>
      <c r="L20" s="400"/>
      <c r="CK20" s="136"/>
      <c r="CL20" s="136"/>
      <c r="CM20" s="136"/>
      <c r="CN20" s="136"/>
      <c r="CO20" s="136"/>
      <c r="CP20" s="136"/>
    </row>
    <row r="21" spans="1:94" ht="33" customHeight="1" x14ac:dyDescent="0.25">
      <c r="A21" s="403" t="s">
        <v>490</v>
      </c>
      <c r="B21" s="404" t="s">
        <v>491</v>
      </c>
      <c r="C21" s="404" t="s">
        <v>492</v>
      </c>
      <c r="D21" s="405" t="s">
        <v>50</v>
      </c>
      <c r="E21" s="405" t="s">
        <v>493</v>
      </c>
      <c r="F21" s="405" t="s">
        <v>566</v>
      </c>
      <c r="G21" s="405" t="s">
        <v>494</v>
      </c>
      <c r="H21" s="406" t="s">
        <v>29</v>
      </c>
      <c r="I21" s="407" t="s">
        <v>495</v>
      </c>
      <c r="K21" s="402"/>
      <c r="L21" s="400"/>
      <c r="M21" s="402"/>
      <c r="N21" s="402"/>
      <c r="O21" s="402"/>
      <c r="S21" s="402"/>
      <c r="T21" s="402"/>
      <c r="W21" s="145"/>
      <c r="X21" s="145"/>
      <c r="Y21" s="145"/>
      <c r="Z21" s="145"/>
      <c r="AA21" s="145"/>
      <c r="AB21" s="145"/>
      <c r="AC21" s="145"/>
      <c r="AD21" s="145"/>
      <c r="AE21" s="145"/>
      <c r="AF21" s="145"/>
      <c r="AG21" s="145"/>
      <c r="AH21" s="145"/>
      <c r="CK21" s="136"/>
      <c r="CL21" s="136"/>
      <c r="CM21" s="136"/>
      <c r="CN21" s="136"/>
      <c r="CO21" s="136"/>
      <c r="CP21" s="136"/>
    </row>
    <row r="22" spans="1:94" s="401" customFormat="1" ht="15" customHeight="1" x14ac:dyDescent="0.25">
      <c r="A22" s="408" t="s">
        <v>193</v>
      </c>
      <c r="B22" s="409">
        <v>133</v>
      </c>
      <c r="C22" s="410">
        <f t="shared" ref="C22:C53" si="3">B22*0.0015625</f>
        <v>0.20781250000000001</v>
      </c>
      <c r="D22" s="411" t="s">
        <v>150</v>
      </c>
      <c r="E22" s="411" t="s">
        <v>150</v>
      </c>
      <c r="F22" s="412" t="s">
        <v>150</v>
      </c>
      <c r="G22" s="413"/>
      <c r="H22" s="433"/>
      <c r="I22" s="387" t="str">
        <f>IF(EXACT(F22, G22), "none", IF(ISNUMBER(MATCH(G22, 'MP Analysis Input'!$A$15:$A$21, 0)), "soft",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08" t="s">
        <v>194</v>
      </c>
      <c r="B23" s="409">
        <v>197</v>
      </c>
      <c r="C23" s="410">
        <f t="shared" si="3"/>
        <v>0.30781250000000004</v>
      </c>
      <c r="D23" s="411" t="s">
        <v>150</v>
      </c>
      <c r="E23" s="411" t="s">
        <v>150</v>
      </c>
      <c r="F23" s="412" t="s">
        <v>150</v>
      </c>
      <c r="G23" s="413"/>
      <c r="H23" s="433"/>
      <c r="I23" s="387" t="str">
        <f>IF(EXACT(F23, G23), "none", IF(ISNUMBER(MATCH(G23, 'MP Analysis Input'!$A$15:$A$21, 0)), "soft", "hard"))</f>
        <v>hard</v>
      </c>
    </row>
    <row r="24" spans="1:94" ht="15" customHeight="1" x14ac:dyDescent="0.25">
      <c r="A24" s="408" t="s">
        <v>195</v>
      </c>
      <c r="B24" s="409">
        <v>87.9</v>
      </c>
      <c r="C24" s="410">
        <f t="shared" si="3"/>
        <v>0.13734375000000001</v>
      </c>
      <c r="D24" s="411" t="s">
        <v>133</v>
      </c>
      <c r="E24" s="411" t="s">
        <v>133</v>
      </c>
      <c r="F24" s="412" t="s">
        <v>133</v>
      </c>
      <c r="G24" s="413"/>
      <c r="H24" s="433"/>
      <c r="I24" s="387" t="str">
        <f>IF(EXACT(F24, G24), "none", IF(ISNUMBER(MATCH(G24, 'MP Analysis Input'!$A$15:$A$21, 0)), "soft", "hard"))</f>
        <v>hard</v>
      </c>
    </row>
    <row r="25" spans="1:94" ht="15" customHeight="1" x14ac:dyDescent="0.25">
      <c r="A25" s="408" t="s">
        <v>196</v>
      </c>
      <c r="B25" s="409">
        <v>1291.7</v>
      </c>
      <c r="C25" s="410">
        <f t="shared" si="3"/>
        <v>2.0182812500000002</v>
      </c>
      <c r="D25" s="411" t="s">
        <v>133</v>
      </c>
      <c r="E25" s="411" t="s">
        <v>133</v>
      </c>
      <c r="F25" s="412" t="s">
        <v>133</v>
      </c>
      <c r="G25" s="413"/>
      <c r="H25" s="433"/>
      <c r="I25" s="387" t="str">
        <f>IF(EXACT(F25, G25), "none", IF(ISNUMBER(MATCH(G25, 'MP Analysis Input'!$A$15:$A$21, 0)), "soft", "hard"))</f>
        <v>hard</v>
      </c>
    </row>
    <row r="26" spans="1:94" ht="15" customHeight="1" x14ac:dyDescent="0.25">
      <c r="A26" s="408" t="s">
        <v>197</v>
      </c>
      <c r="B26" s="409">
        <v>447.9</v>
      </c>
      <c r="C26" s="410">
        <f t="shared" si="3"/>
        <v>0.69984374999999999</v>
      </c>
      <c r="D26" s="411" t="s">
        <v>175</v>
      </c>
      <c r="E26" s="411" t="s">
        <v>130</v>
      </c>
      <c r="F26" s="412" t="s">
        <v>130</v>
      </c>
      <c r="G26" s="413"/>
      <c r="H26" s="433"/>
      <c r="I26" s="387" t="str">
        <f>IF(EXACT(F26, G26), "none", IF(ISNUMBER(MATCH(G26, 'MP Analysis Input'!$A$15:$A$21, 0)), "soft", "hard"))</f>
        <v>hard</v>
      </c>
    </row>
    <row r="27" spans="1:94" ht="15" customHeight="1" x14ac:dyDescent="0.25">
      <c r="A27" s="408" t="s">
        <v>339</v>
      </c>
      <c r="B27" s="409">
        <v>41.073974</v>
      </c>
      <c r="C27" s="410">
        <f t="shared" si="3"/>
        <v>6.4178084375E-2</v>
      </c>
      <c r="D27" s="411" t="s">
        <v>149</v>
      </c>
      <c r="E27" s="411" t="s">
        <v>137</v>
      </c>
      <c r="F27" s="412" t="s">
        <v>130</v>
      </c>
      <c r="G27" s="413"/>
      <c r="H27" s="433"/>
      <c r="I27" s="387" t="str">
        <f>IF(EXACT(F27, G27), "none", IF(ISNUMBER(MATCH(G27, 'MP Analysis Input'!$A$15:$A$21, 0)), "soft", "hard"))</f>
        <v>hard</v>
      </c>
    </row>
    <row r="28" spans="1:94" ht="15" customHeight="1" x14ac:dyDescent="0.25">
      <c r="A28" s="408" t="s">
        <v>198</v>
      </c>
      <c r="B28" s="409">
        <v>201</v>
      </c>
      <c r="C28" s="410">
        <f t="shared" si="3"/>
        <v>0.31406250000000002</v>
      </c>
      <c r="D28" s="411" t="s">
        <v>175</v>
      </c>
      <c r="E28" s="411" t="s">
        <v>137</v>
      </c>
      <c r="F28" s="412" t="s">
        <v>137</v>
      </c>
      <c r="G28" s="413"/>
      <c r="H28" s="433"/>
      <c r="I28" s="387" t="str">
        <f>IF(EXACT(F28, G28), "none", IF(ISNUMBER(MATCH(G28, 'MP Analysis Input'!$A$15:$A$21, 0)), "soft", "hard"))</f>
        <v>hard</v>
      </c>
    </row>
    <row r="29" spans="1:94" ht="15" customHeight="1" x14ac:dyDescent="0.25">
      <c r="A29" s="408" t="s">
        <v>199</v>
      </c>
      <c r="B29" s="409">
        <v>698</v>
      </c>
      <c r="C29" s="410">
        <f t="shared" si="3"/>
        <v>1.090625</v>
      </c>
      <c r="D29" s="411" t="s">
        <v>171</v>
      </c>
      <c r="E29" s="411" t="s">
        <v>137</v>
      </c>
      <c r="F29" s="412" t="s">
        <v>137</v>
      </c>
      <c r="G29" s="413"/>
      <c r="H29" s="433"/>
      <c r="I29" s="387" t="str">
        <f>IF(EXACT(F29, G29), "none", IF(ISNUMBER(MATCH(G29, 'MP Analysis Input'!$A$15:$A$21, 0)), "soft", "hard"))</f>
        <v>hard</v>
      </c>
    </row>
    <row r="30" spans="1:94" ht="15" customHeight="1" x14ac:dyDescent="0.25">
      <c r="A30" s="408" t="s">
        <v>350</v>
      </c>
      <c r="B30" s="409">
        <v>315.03304400000002</v>
      </c>
      <c r="C30" s="410">
        <f t="shared" si="3"/>
        <v>0.49223913125000007</v>
      </c>
      <c r="D30" s="411" t="s">
        <v>149</v>
      </c>
      <c r="E30" s="411" t="s">
        <v>149</v>
      </c>
      <c r="F30" s="412" t="s">
        <v>133</v>
      </c>
      <c r="G30" s="413"/>
      <c r="H30" s="433"/>
      <c r="I30" s="387" t="str">
        <f>IF(EXACT(F30, G30), "none", IF(ISNUMBER(MATCH(G30, 'MP Analysis Input'!$A$15:$A$21, 0)), "soft", "hard"))</f>
        <v>hard</v>
      </c>
    </row>
    <row r="31" spans="1:94" ht="15" customHeight="1" x14ac:dyDescent="0.25">
      <c r="A31" s="408" t="s">
        <v>200</v>
      </c>
      <c r="B31" s="409">
        <v>177.8</v>
      </c>
      <c r="C31" s="410">
        <f t="shared" si="3"/>
        <v>0.27781250000000002</v>
      </c>
      <c r="D31" s="411" t="s">
        <v>175</v>
      </c>
      <c r="E31" s="411" t="s">
        <v>137</v>
      </c>
      <c r="F31" s="412" t="s">
        <v>137</v>
      </c>
      <c r="G31" s="413"/>
      <c r="H31" s="433"/>
      <c r="I31" s="387" t="str">
        <f>IF(EXACT(F31, G31), "none", IF(ISNUMBER(MATCH(G31, 'MP Analysis Input'!$A$15:$A$21, 0)), "soft", "hard"))</f>
        <v>hard</v>
      </c>
    </row>
    <row r="32" spans="1:94" ht="15" customHeight="1" x14ac:dyDescent="0.25">
      <c r="A32" s="408" t="s">
        <v>201</v>
      </c>
      <c r="B32" s="409">
        <v>102.8</v>
      </c>
      <c r="C32" s="410">
        <f t="shared" si="3"/>
        <v>0.16062500000000002</v>
      </c>
      <c r="D32" s="411" t="s">
        <v>122</v>
      </c>
      <c r="E32" s="411" t="s">
        <v>122</v>
      </c>
      <c r="F32" s="412" t="s">
        <v>122</v>
      </c>
      <c r="G32" s="413"/>
      <c r="H32" s="433"/>
      <c r="I32" s="387" t="str">
        <f>IF(EXACT(F32, G32), "none", IF(ISNUMBER(MATCH(G32, 'MP Analysis Input'!$A$15:$A$21, 0)), "soft", "hard"))</f>
        <v>hard</v>
      </c>
    </row>
    <row r="33" spans="1:9" ht="15" customHeight="1" x14ac:dyDescent="0.25">
      <c r="A33" s="408" t="s">
        <v>202</v>
      </c>
      <c r="B33" s="409">
        <v>431</v>
      </c>
      <c r="C33" s="410">
        <f t="shared" si="3"/>
        <v>0.67343750000000002</v>
      </c>
      <c r="D33" s="411" t="s">
        <v>175</v>
      </c>
      <c r="E33" s="411" t="s">
        <v>175</v>
      </c>
      <c r="F33" s="412" t="s">
        <v>122</v>
      </c>
      <c r="G33" s="413"/>
      <c r="H33" s="433"/>
      <c r="I33" s="387" t="str">
        <f>IF(EXACT(F33, G33), "none", IF(ISNUMBER(MATCH(G33, 'MP Analysis Input'!$A$15:$A$21, 0)), "soft", "hard"))</f>
        <v>hard</v>
      </c>
    </row>
    <row r="34" spans="1:9" ht="15" customHeight="1" x14ac:dyDescent="0.25">
      <c r="A34" s="408" t="s">
        <v>203</v>
      </c>
      <c r="B34" s="409">
        <v>152.4</v>
      </c>
      <c r="C34" s="410">
        <f t="shared" si="3"/>
        <v>0.23812500000000003</v>
      </c>
      <c r="D34" s="411" t="s">
        <v>175</v>
      </c>
      <c r="E34" s="411" t="s">
        <v>130</v>
      </c>
      <c r="F34" s="412" t="s">
        <v>130</v>
      </c>
      <c r="G34" s="413"/>
      <c r="H34" s="433"/>
      <c r="I34" s="387" t="str">
        <f>IF(EXACT(F34, G34), "none", IF(ISNUMBER(MATCH(G34, 'MP Analysis Input'!$A$15:$A$21, 0)), "soft", "hard"))</f>
        <v>hard</v>
      </c>
    </row>
    <row r="35" spans="1:9" ht="15" customHeight="1" x14ac:dyDescent="0.25">
      <c r="A35" s="408" t="s">
        <v>204</v>
      </c>
      <c r="B35" s="409">
        <v>215.7</v>
      </c>
      <c r="C35" s="410">
        <f t="shared" si="3"/>
        <v>0.33703125</v>
      </c>
      <c r="D35" s="411" t="s">
        <v>149</v>
      </c>
      <c r="E35" s="411" t="s">
        <v>149</v>
      </c>
      <c r="F35" s="412" t="s">
        <v>181</v>
      </c>
      <c r="G35" s="413"/>
      <c r="H35" s="433"/>
      <c r="I35" s="387" t="str">
        <f>IF(EXACT(F35, G35), "none", IF(ISNUMBER(MATCH(G35, 'MP Analysis Input'!$A$15:$A$21, 0)), "soft", "hard"))</f>
        <v>hard</v>
      </c>
    </row>
    <row r="36" spans="1:9" ht="15" customHeight="1" x14ac:dyDescent="0.25">
      <c r="A36" s="408" t="s">
        <v>207</v>
      </c>
      <c r="B36" s="409">
        <v>79.7</v>
      </c>
      <c r="C36" s="410">
        <f t="shared" si="3"/>
        <v>0.12453125000000001</v>
      </c>
      <c r="D36" s="411" t="s">
        <v>171</v>
      </c>
      <c r="E36" s="411" t="s">
        <v>137</v>
      </c>
      <c r="F36" s="412" t="s">
        <v>171</v>
      </c>
      <c r="G36" s="413"/>
      <c r="H36" s="433"/>
      <c r="I36" s="387" t="str">
        <f>IF(EXACT(F36, G36), "none", IF(ISNUMBER(MATCH(G36, 'MP Analysis Input'!$A$15:$A$21, 0)), "soft", "hard"))</f>
        <v>hard</v>
      </c>
    </row>
    <row r="37" spans="1:9" ht="15" customHeight="1" x14ac:dyDescent="0.25">
      <c r="A37" s="408" t="s">
        <v>205</v>
      </c>
      <c r="B37" s="409">
        <v>425.9</v>
      </c>
      <c r="C37" s="410">
        <f t="shared" si="3"/>
        <v>0.66546875000000005</v>
      </c>
      <c r="D37" s="411" t="s">
        <v>171</v>
      </c>
      <c r="E37" s="411" t="s">
        <v>171</v>
      </c>
      <c r="F37" s="412" t="s">
        <v>171</v>
      </c>
      <c r="G37" s="413"/>
      <c r="H37" s="433"/>
      <c r="I37" s="387" t="str">
        <f>IF(EXACT(F37, G37), "none", IF(ISNUMBER(MATCH(G37, 'MP Analysis Input'!$A$15:$A$21, 0)), "soft", "hard"))</f>
        <v>hard</v>
      </c>
    </row>
    <row r="38" spans="1:9" ht="15" customHeight="1" x14ac:dyDescent="0.25">
      <c r="A38" s="408" t="s">
        <v>206</v>
      </c>
      <c r="B38" s="409">
        <v>319.2</v>
      </c>
      <c r="C38" s="410">
        <f t="shared" si="3"/>
        <v>0.49875000000000003</v>
      </c>
      <c r="D38" s="411" t="s">
        <v>171</v>
      </c>
      <c r="E38" s="411" t="s">
        <v>171</v>
      </c>
      <c r="F38" s="412" t="s">
        <v>171</v>
      </c>
      <c r="G38" s="413"/>
      <c r="H38" s="433"/>
      <c r="I38" s="387" t="str">
        <f>IF(EXACT(F38, G38), "none", IF(ISNUMBER(MATCH(G38, 'MP Analysis Input'!$A$15:$A$21, 0)), "soft", "hard"))</f>
        <v>hard</v>
      </c>
    </row>
    <row r="39" spans="1:9" ht="15" customHeight="1" x14ac:dyDescent="0.25">
      <c r="A39" s="408" t="s">
        <v>208</v>
      </c>
      <c r="B39" s="409">
        <v>251.6</v>
      </c>
      <c r="C39" s="410">
        <f t="shared" si="3"/>
        <v>0.393125</v>
      </c>
      <c r="D39" s="411" t="s">
        <v>175</v>
      </c>
      <c r="E39" s="411" t="s">
        <v>175</v>
      </c>
      <c r="F39" s="412" t="s">
        <v>175</v>
      </c>
      <c r="G39" s="413"/>
      <c r="H39" s="433"/>
      <c r="I39" s="387" t="str">
        <f>IF(EXACT(F39, G39), "none", IF(ISNUMBER(MATCH(G39, 'MP Analysis Input'!$A$15:$A$21, 0)), "soft", "hard"))</f>
        <v>hard</v>
      </c>
    </row>
    <row r="40" spans="1:9" ht="15" customHeight="1" x14ac:dyDescent="0.25">
      <c r="A40" s="408" t="s">
        <v>209</v>
      </c>
      <c r="B40" s="409">
        <v>136.9</v>
      </c>
      <c r="C40" s="410">
        <f t="shared" si="3"/>
        <v>0.21390625000000002</v>
      </c>
      <c r="D40" s="411" t="s">
        <v>171</v>
      </c>
      <c r="E40" s="411" t="s">
        <v>171</v>
      </c>
      <c r="F40" s="412" t="s">
        <v>171</v>
      </c>
      <c r="G40" s="413"/>
      <c r="H40" s="433"/>
      <c r="I40" s="387" t="str">
        <f>IF(EXACT(F40, G40), "none", IF(ISNUMBER(MATCH(G40, 'MP Analysis Input'!$A$15:$A$21, 0)), "soft", "hard"))</f>
        <v>hard</v>
      </c>
    </row>
    <row r="41" spans="1:9" ht="15" customHeight="1" x14ac:dyDescent="0.25">
      <c r="A41" s="408" t="s">
        <v>210</v>
      </c>
      <c r="B41" s="409">
        <v>436.6</v>
      </c>
      <c r="C41" s="410">
        <f t="shared" si="3"/>
        <v>0.68218750000000006</v>
      </c>
      <c r="D41" s="411" t="s">
        <v>175</v>
      </c>
      <c r="E41" s="411" t="s">
        <v>175</v>
      </c>
      <c r="F41" s="412" t="s">
        <v>175</v>
      </c>
      <c r="G41" s="413"/>
      <c r="H41" s="433"/>
      <c r="I41" s="387" t="str">
        <f>IF(EXACT(F41, G41), "none", IF(ISNUMBER(MATCH(G41, 'MP Analysis Input'!$A$15:$A$21, 0)), "soft", "hard"))</f>
        <v>hard</v>
      </c>
    </row>
    <row r="42" spans="1:9" ht="15" customHeight="1" x14ac:dyDescent="0.25">
      <c r="A42" s="408" t="s">
        <v>340</v>
      </c>
      <c r="B42" s="409">
        <v>76.115142000000006</v>
      </c>
      <c r="C42" s="410">
        <f t="shared" si="3"/>
        <v>0.11892990937500002</v>
      </c>
      <c r="D42" s="411" t="s">
        <v>149</v>
      </c>
      <c r="E42" s="411" t="s">
        <v>149</v>
      </c>
      <c r="F42" s="412" t="s">
        <v>133</v>
      </c>
      <c r="G42" s="413"/>
      <c r="H42" s="433"/>
      <c r="I42" s="387" t="str">
        <f>IF(EXACT(F42, G42), "none", IF(ISNUMBER(MATCH(G42, 'MP Analysis Input'!$A$15:$A$21, 0)), "soft", "hard"))</f>
        <v>hard</v>
      </c>
    </row>
    <row r="43" spans="1:9" ht="15" customHeight="1" x14ac:dyDescent="0.25">
      <c r="A43" s="408" t="s">
        <v>211</v>
      </c>
      <c r="B43" s="409">
        <v>1082.5</v>
      </c>
      <c r="C43" s="410">
        <f t="shared" si="3"/>
        <v>1.69140625</v>
      </c>
      <c r="D43" s="411" t="s">
        <v>175</v>
      </c>
      <c r="E43" s="411" t="s">
        <v>137</v>
      </c>
      <c r="F43" s="412" t="s">
        <v>165</v>
      </c>
      <c r="G43" s="413"/>
      <c r="H43" s="433"/>
      <c r="I43" s="387" t="str">
        <f>IF(EXACT(F43, G43), "none", IF(ISNUMBER(MATCH(G43, 'MP Analysis Input'!$A$15:$A$21, 0)), "soft", "hard"))</f>
        <v>hard</v>
      </c>
    </row>
    <row r="44" spans="1:9" ht="15" customHeight="1" x14ac:dyDescent="0.25">
      <c r="A44" s="408" t="s">
        <v>212</v>
      </c>
      <c r="B44" s="409">
        <v>523.9</v>
      </c>
      <c r="C44" s="410">
        <f t="shared" si="3"/>
        <v>0.81859375000000001</v>
      </c>
      <c r="D44" s="411" t="s">
        <v>175</v>
      </c>
      <c r="E44" s="411" t="s">
        <v>143</v>
      </c>
      <c r="F44" s="412" t="s">
        <v>143</v>
      </c>
      <c r="G44" s="413"/>
      <c r="H44" s="433"/>
      <c r="I44" s="387" t="str">
        <f>IF(EXACT(F44, G44), "none", IF(ISNUMBER(MATCH(G44, 'MP Analysis Input'!$A$15:$A$21, 0)), "soft", "hard"))</f>
        <v>hard</v>
      </c>
    </row>
    <row r="45" spans="1:9" ht="15" customHeight="1" x14ac:dyDescent="0.25">
      <c r="A45" s="408" t="s">
        <v>213</v>
      </c>
      <c r="B45" s="409">
        <v>600.79999999999995</v>
      </c>
      <c r="C45" s="410">
        <f t="shared" si="3"/>
        <v>0.93874999999999997</v>
      </c>
      <c r="D45" s="411" t="s">
        <v>175</v>
      </c>
      <c r="E45" s="411" t="s">
        <v>143</v>
      </c>
      <c r="F45" s="412" t="s">
        <v>143</v>
      </c>
      <c r="G45" s="413"/>
      <c r="H45" s="433"/>
      <c r="I45" s="387" t="str">
        <f>IF(EXACT(F45, G45), "none", IF(ISNUMBER(MATCH(G45, 'MP Analysis Input'!$A$15:$A$21, 0)), "soft", "hard"))</f>
        <v>hard</v>
      </c>
    </row>
    <row r="46" spans="1:9" ht="15" customHeight="1" x14ac:dyDescent="0.25">
      <c r="A46" s="408" t="s">
        <v>214</v>
      </c>
      <c r="B46" s="409">
        <v>341.5</v>
      </c>
      <c r="C46" s="410">
        <f t="shared" si="3"/>
        <v>0.53359374999999998</v>
      </c>
      <c r="D46" s="411" t="s">
        <v>175</v>
      </c>
      <c r="E46" s="411" t="s">
        <v>137</v>
      </c>
      <c r="F46" s="412" t="s">
        <v>137</v>
      </c>
      <c r="G46" s="413"/>
      <c r="H46" s="433"/>
      <c r="I46" s="387" t="str">
        <f>IF(EXACT(F46, G46), "none", IF(ISNUMBER(MATCH(G46, 'MP Analysis Input'!$A$15:$A$21, 0)), "soft", "hard"))</f>
        <v>hard</v>
      </c>
    </row>
    <row r="47" spans="1:9" ht="15" customHeight="1" x14ac:dyDescent="0.25">
      <c r="A47" s="408" t="s">
        <v>215</v>
      </c>
      <c r="B47" s="409">
        <v>544.70000000000005</v>
      </c>
      <c r="C47" s="410">
        <f t="shared" si="3"/>
        <v>0.85109375000000009</v>
      </c>
      <c r="D47" s="411" t="s">
        <v>175</v>
      </c>
      <c r="E47" s="411" t="s">
        <v>175</v>
      </c>
      <c r="F47" s="412" t="s">
        <v>175</v>
      </c>
      <c r="G47" s="413"/>
      <c r="H47" s="433"/>
      <c r="I47" s="387" t="str">
        <f>IF(EXACT(F47, G47), "none", IF(ISNUMBER(MATCH(G47, 'MP Analysis Input'!$A$15:$A$21, 0)), "soft", "hard"))</f>
        <v>hard</v>
      </c>
    </row>
    <row r="48" spans="1:9" ht="15" customHeight="1" x14ac:dyDescent="0.25">
      <c r="A48" s="408" t="s">
        <v>216</v>
      </c>
      <c r="B48" s="409">
        <v>21.3</v>
      </c>
      <c r="C48" s="410">
        <f t="shared" si="3"/>
        <v>3.3281250000000005E-2</v>
      </c>
      <c r="D48" s="411" t="s">
        <v>175</v>
      </c>
      <c r="E48" s="411" t="s">
        <v>175</v>
      </c>
      <c r="F48" s="412" t="s">
        <v>175</v>
      </c>
      <c r="G48" s="413"/>
      <c r="H48" s="433"/>
      <c r="I48" s="387" t="str">
        <f>IF(EXACT(F48, G48), "none", IF(ISNUMBER(MATCH(G48, 'MP Analysis Input'!$A$15:$A$21, 0)), "soft", "hard"))</f>
        <v>hard</v>
      </c>
    </row>
    <row r="49" spans="1:94" ht="15" customHeight="1" x14ac:dyDescent="0.25">
      <c r="A49" s="408" t="s">
        <v>217</v>
      </c>
      <c r="B49" s="409">
        <v>1161.7</v>
      </c>
      <c r="C49" s="410">
        <f t="shared" si="3"/>
        <v>1.8151562500000002</v>
      </c>
      <c r="D49" s="411" t="s">
        <v>175</v>
      </c>
      <c r="E49" s="411" t="s">
        <v>175</v>
      </c>
      <c r="F49" s="412" t="s">
        <v>175</v>
      </c>
      <c r="G49" s="413"/>
      <c r="H49" s="433"/>
      <c r="I49" s="387" t="str">
        <f>IF(EXACT(F49, G49), "none", IF(ISNUMBER(MATCH(G49, 'MP Analysis Input'!$A$15:$A$21, 0)), "soft", "hard"))</f>
        <v>hard</v>
      </c>
    </row>
    <row r="50" spans="1:94" ht="15" customHeight="1" x14ac:dyDescent="0.25">
      <c r="A50" s="408" t="s">
        <v>218</v>
      </c>
      <c r="B50" s="409">
        <v>248.4</v>
      </c>
      <c r="C50" s="410">
        <f t="shared" si="3"/>
        <v>0.38812500000000005</v>
      </c>
      <c r="D50" s="411" t="s">
        <v>146</v>
      </c>
      <c r="E50" s="411" t="s">
        <v>146</v>
      </c>
      <c r="F50" s="412" t="s">
        <v>146</v>
      </c>
      <c r="G50" s="413"/>
      <c r="H50" s="433"/>
      <c r="I50" s="387" t="str">
        <f>IF(EXACT(F50, G50), "none", IF(ISNUMBER(MATCH(G50, 'MP Analysis Input'!$A$15:$A$21, 0)), "soft", "hard"))</f>
        <v>hard</v>
      </c>
    </row>
    <row r="51" spans="1:94" ht="15" customHeight="1" x14ac:dyDescent="0.25">
      <c r="A51" s="408" t="s">
        <v>219</v>
      </c>
      <c r="B51" s="409">
        <v>701</v>
      </c>
      <c r="C51" s="410">
        <f t="shared" si="3"/>
        <v>1.0953125000000001</v>
      </c>
      <c r="D51" s="411" t="s">
        <v>171</v>
      </c>
      <c r="E51" s="411" t="s">
        <v>171</v>
      </c>
      <c r="F51" s="412" t="s">
        <v>126</v>
      </c>
      <c r="G51" s="413"/>
      <c r="H51" s="433"/>
      <c r="I51" s="387" t="str">
        <f>IF(EXACT(F51, G51), "none", IF(ISNUMBER(MATCH(G51, 'MP Analysis Input'!$A$15:$A$21, 0)), "soft", "hard"))</f>
        <v>hard</v>
      </c>
    </row>
    <row r="52" spans="1:94" ht="15" customHeight="1" x14ac:dyDescent="0.25">
      <c r="A52" s="408" t="s">
        <v>220</v>
      </c>
      <c r="B52" s="409">
        <v>506.2</v>
      </c>
      <c r="C52" s="410">
        <f t="shared" si="3"/>
        <v>0.79093750000000007</v>
      </c>
      <c r="D52" s="411" t="s">
        <v>149</v>
      </c>
      <c r="E52" s="411" t="s">
        <v>149</v>
      </c>
      <c r="F52" s="412" t="s">
        <v>133</v>
      </c>
      <c r="G52" s="413"/>
      <c r="H52" s="433"/>
      <c r="I52" s="387" t="str">
        <f>IF(EXACT(F52, G52), "none", IF(ISNUMBER(MATCH(G52, 'MP Analysis Input'!$A$15:$A$21, 0)), "soft", "hard"))</f>
        <v>hard</v>
      </c>
    </row>
    <row r="53" spans="1:94" ht="15" customHeight="1" x14ac:dyDescent="0.25">
      <c r="A53" s="408" t="s">
        <v>221</v>
      </c>
      <c r="B53" s="409">
        <v>615.1</v>
      </c>
      <c r="C53" s="410">
        <f t="shared" si="3"/>
        <v>0.96109375000000008</v>
      </c>
      <c r="D53" s="411" t="s">
        <v>149</v>
      </c>
      <c r="E53" s="411" t="s">
        <v>149</v>
      </c>
      <c r="F53" s="412" t="s">
        <v>173</v>
      </c>
      <c r="G53" s="413"/>
      <c r="H53" s="433"/>
      <c r="I53" s="387" t="str">
        <f>IF(EXACT(F53, G53), "none", IF(ISNUMBER(MATCH(G53, 'MP Analysis Input'!$A$15:$A$21, 0)), "soft", "hard"))</f>
        <v>hard</v>
      </c>
    </row>
    <row r="54" spans="1:94" ht="15" customHeight="1" x14ac:dyDescent="0.25">
      <c r="A54" s="408" t="s">
        <v>342</v>
      </c>
      <c r="B54" s="409">
        <v>138.452519</v>
      </c>
      <c r="C54" s="410">
        <f t="shared" ref="C54:C85" si="4">B54*0.0015625</f>
        <v>0.21633206093750001</v>
      </c>
      <c r="D54" s="411" t="s">
        <v>149</v>
      </c>
      <c r="E54" s="411" t="s">
        <v>149</v>
      </c>
      <c r="F54" s="412" t="s">
        <v>133</v>
      </c>
      <c r="G54" s="413"/>
      <c r="H54" s="433"/>
      <c r="I54" s="387" t="str">
        <f>IF(EXACT(F54, G54), "none", IF(ISNUMBER(MATCH(G54, 'MP Analysis Input'!$A$15:$A$21, 0)), "soft", "hard"))</f>
        <v>hard</v>
      </c>
    </row>
    <row r="55" spans="1:94" ht="15" customHeight="1" x14ac:dyDescent="0.25">
      <c r="A55" s="408" t="s">
        <v>222</v>
      </c>
      <c r="B55" s="409">
        <v>332.6</v>
      </c>
      <c r="C55" s="410">
        <f t="shared" si="4"/>
        <v>0.51968750000000008</v>
      </c>
      <c r="D55" s="411" t="s">
        <v>171</v>
      </c>
      <c r="E55" s="411" t="s">
        <v>171</v>
      </c>
      <c r="F55" s="412" t="s">
        <v>140</v>
      </c>
      <c r="G55" s="413"/>
      <c r="H55" s="433"/>
      <c r="I55" s="387" t="str">
        <f>IF(EXACT(F55, G55), "none", IF(ISNUMBER(MATCH(G55, 'MP Analysis Input'!$A$15:$A$21, 0)), "soft", "hard"))</f>
        <v>hard</v>
      </c>
    </row>
    <row r="56" spans="1:94" ht="15" customHeight="1" x14ac:dyDescent="0.25">
      <c r="A56" s="408" t="s">
        <v>223</v>
      </c>
      <c r="B56" s="409">
        <v>183.4</v>
      </c>
      <c r="C56" s="410">
        <f t="shared" si="4"/>
        <v>0.2865625</v>
      </c>
      <c r="D56" s="411" t="s">
        <v>171</v>
      </c>
      <c r="E56" s="411" t="s">
        <v>171</v>
      </c>
      <c r="F56" s="412" t="s">
        <v>171</v>
      </c>
      <c r="G56" s="413"/>
      <c r="H56" s="433"/>
      <c r="I56" s="387" t="str">
        <f>IF(EXACT(F56, G56), "none", IF(ISNUMBER(MATCH(G56, 'MP Analysis Input'!$A$15:$A$21, 0)), "soft", "hard"))</f>
        <v>hard</v>
      </c>
    </row>
    <row r="57" spans="1:94" ht="15" customHeight="1" x14ac:dyDescent="0.25">
      <c r="A57" s="408" t="s">
        <v>351</v>
      </c>
      <c r="B57" s="409">
        <v>103.825344</v>
      </c>
      <c r="C57" s="410">
        <f t="shared" si="4"/>
        <v>0.16222710000000001</v>
      </c>
      <c r="D57" s="411" t="s">
        <v>149</v>
      </c>
      <c r="E57" s="411" t="s">
        <v>149</v>
      </c>
      <c r="F57" s="412" t="s">
        <v>133</v>
      </c>
      <c r="G57" s="413"/>
      <c r="H57" s="433"/>
      <c r="I57" s="387" t="str">
        <f>IF(EXACT(F57, G57), "none", IF(ISNUMBER(MATCH(G57, 'MP Analysis Input'!$A$15:$A$21, 0)), "soft", "hard"))</f>
        <v>hard</v>
      </c>
      <c r="K57"/>
      <c r="L57"/>
      <c r="M57"/>
      <c r="N57"/>
    </row>
    <row r="58" spans="1:94" ht="15" customHeight="1" x14ac:dyDescent="0.25">
      <c r="A58" s="415" t="s">
        <v>352</v>
      </c>
      <c r="B58" s="409">
        <v>55.579112000000002</v>
      </c>
      <c r="C58" s="410">
        <f t="shared" si="4"/>
        <v>8.6842362500000006E-2</v>
      </c>
      <c r="D58" s="411" t="s">
        <v>149</v>
      </c>
      <c r="E58" s="411" t="s">
        <v>149</v>
      </c>
      <c r="F58" s="412" t="s">
        <v>133</v>
      </c>
      <c r="G58" s="413"/>
      <c r="H58" s="433"/>
      <c r="I58" s="387" t="str">
        <f>IF(EXACT(F58, G58), "none", IF(ISNUMBER(MATCH(G58, 'MP Analysis Input'!$A$15:$A$21, 0)), "soft", "hard"))</f>
        <v>hard</v>
      </c>
      <c r="K58"/>
      <c r="L58"/>
      <c r="M58"/>
      <c r="N58"/>
      <c r="U58" s="136"/>
      <c r="CK58" s="136"/>
      <c r="CL58" s="136"/>
      <c r="CM58" s="136"/>
      <c r="CN58" s="136"/>
      <c r="CO58" s="136"/>
      <c r="CP58" s="136"/>
    </row>
    <row r="59" spans="1:94" ht="15" customHeight="1" x14ac:dyDescent="0.25">
      <c r="A59" s="408" t="s">
        <v>337</v>
      </c>
      <c r="B59" s="409">
        <v>50.171183999999997</v>
      </c>
      <c r="C59" s="410">
        <f t="shared" si="4"/>
        <v>7.8392475000000003E-2</v>
      </c>
      <c r="D59" s="411" t="s">
        <v>149</v>
      </c>
      <c r="E59" s="411" t="s">
        <v>149</v>
      </c>
      <c r="F59" s="412" t="s">
        <v>188</v>
      </c>
      <c r="G59" s="413"/>
      <c r="H59" s="433"/>
      <c r="I59" s="387" t="str">
        <f>IF(EXACT(F59, G59), "none", IF(ISNUMBER(MATCH(G59, 'MP Analysis Input'!$A$15:$A$21, 0)), "soft", "hard"))</f>
        <v>hard</v>
      </c>
      <c r="K59"/>
      <c r="L59"/>
      <c r="M59"/>
      <c r="N59"/>
    </row>
    <row r="60" spans="1:94" ht="15" customHeight="1" x14ac:dyDescent="0.25">
      <c r="A60" s="408" t="s">
        <v>338</v>
      </c>
      <c r="B60" s="409">
        <v>110.435041</v>
      </c>
      <c r="C60" s="410">
        <f t="shared" si="4"/>
        <v>0.1725547515625</v>
      </c>
      <c r="D60" s="411" t="s">
        <v>149</v>
      </c>
      <c r="E60" s="411" t="s">
        <v>149</v>
      </c>
      <c r="F60" s="517" t="s">
        <v>188</v>
      </c>
      <c r="G60" s="413"/>
      <c r="H60" s="433"/>
      <c r="I60" s="387" t="str">
        <f>IF(EXACT(F60, G60), "none", IF(ISNUMBER(MATCH(G60, 'MP Analysis Input'!$A$15:$A$21, 0)), "soft", "hard"))</f>
        <v>hard</v>
      </c>
      <c r="K60"/>
      <c r="L60"/>
      <c r="M60"/>
      <c r="N60"/>
    </row>
    <row r="61" spans="1:94" ht="15" customHeight="1" x14ac:dyDescent="0.25">
      <c r="A61" s="408" t="s">
        <v>224</v>
      </c>
      <c r="B61" s="409">
        <v>275.39999999999998</v>
      </c>
      <c r="C61" s="410">
        <f t="shared" si="4"/>
        <v>0.43031249999999999</v>
      </c>
      <c r="D61" s="411" t="s">
        <v>175</v>
      </c>
      <c r="E61" s="411" t="s">
        <v>175</v>
      </c>
      <c r="F61" s="412" t="s">
        <v>140</v>
      </c>
      <c r="G61" s="413"/>
      <c r="H61" s="433"/>
      <c r="I61" s="387" t="str">
        <f>IF(EXACT(F61, G61), "none", IF(ISNUMBER(MATCH(G61, 'MP Analysis Input'!$A$15:$A$21, 0)), "soft", "hard"))</f>
        <v>hard</v>
      </c>
      <c r="K61"/>
      <c r="L61"/>
      <c r="M61"/>
      <c r="N61"/>
    </row>
    <row r="62" spans="1:94" ht="15" customHeight="1" x14ac:dyDescent="0.25">
      <c r="A62" s="408" t="s">
        <v>225</v>
      </c>
      <c r="B62" s="409">
        <v>43.2</v>
      </c>
      <c r="C62" s="410">
        <f t="shared" si="4"/>
        <v>6.7500000000000004E-2</v>
      </c>
      <c r="D62" s="411" t="s">
        <v>171</v>
      </c>
      <c r="E62" s="411" t="s">
        <v>137</v>
      </c>
      <c r="F62" s="412" t="s">
        <v>137</v>
      </c>
      <c r="G62" s="413"/>
      <c r="H62" s="433"/>
      <c r="I62" s="387" t="str">
        <f>IF(EXACT(F62, G62), "none", IF(ISNUMBER(MATCH(G62, 'MP Analysis Input'!$A$15:$A$21, 0)), "soft", "hard"))</f>
        <v>hard</v>
      </c>
      <c r="K62"/>
      <c r="L62"/>
      <c r="M62"/>
      <c r="N62"/>
    </row>
    <row r="63" spans="1:94" ht="15" customHeight="1" x14ac:dyDescent="0.25">
      <c r="A63" s="408" t="s">
        <v>341</v>
      </c>
      <c r="B63" s="409">
        <v>366.048768</v>
      </c>
      <c r="C63" s="410">
        <f t="shared" si="4"/>
        <v>0.57195119999999999</v>
      </c>
      <c r="D63" s="411" t="s">
        <v>149</v>
      </c>
      <c r="E63" s="411" t="s">
        <v>149</v>
      </c>
      <c r="F63" s="412" t="s">
        <v>133</v>
      </c>
      <c r="G63" s="413"/>
      <c r="H63" s="433"/>
      <c r="I63" s="387" t="str">
        <f>IF(EXACT(F63, G63), "none", IF(ISNUMBER(MATCH(G63, 'MP Analysis Input'!$A$15:$A$21, 0)), "soft", "hard"))</f>
        <v>hard</v>
      </c>
      <c r="K63"/>
      <c r="L63"/>
      <c r="M63"/>
      <c r="N63"/>
    </row>
    <row r="64" spans="1:94" ht="15" customHeight="1" x14ac:dyDescent="0.25">
      <c r="A64" s="408" t="s">
        <v>226</v>
      </c>
      <c r="B64" s="409">
        <v>133.30000000000001</v>
      </c>
      <c r="C64" s="410">
        <f t="shared" si="4"/>
        <v>0.20828125000000003</v>
      </c>
      <c r="D64" s="411" t="s">
        <v>175</v>
      </c>
      <c r="E64" s="411" t="s">
        <v>175</v>
      </c>
      <c r="F64" s="412" t="s">
        <v>140</v>
      </c>
      <c r="G64" s="413"/>
      <c r="H64" s="433"/>
      <c r="I64" s="387" t="str">
        <f>IF(EXACT(F64, G64), "none", IF(ISNUMBER(MATCH(G64, 'MP Analysis Input'!$A$15:$A$21, 0)), "soft", "hard"))</f>
        <v>hard</v>
      </c>
    </row>
    <row r="65" spans="1:9" ht="15" customHeight="1" x14ac:dyDescent="0.25">
      <c r="A65" s="408" t="s">
        <v>227</v>
      </c>
      <c r="B65" s="409">
        <v>74.7</v>
      </c>
      <c r="C65" s="410">
        <f t="shared" si="4"/>
        <v>0.11671875000000001</v>
      </c>
      <c r="D65" s="411" t="s">
        <v>171</v>
      </c>
      <c r="E65" s="411" t="s">
        <v>171</v>
      </c>
      <c r="F65" s="412" t="s">
        <v>181</v>
      </c>
      <c r="G65" s="413"/>
      <c r="H65" s="433"/>
      <c r="I65" s="387" t="str">
        <f>IF(EXACT(F65, G65), "none", IF(ISNUMBER(MATCH(G65, 'MP Analysis Input'!$A$15:$A$21, 0)), "soft", "hard"))</f>
        <v>hard</v>
      </c>
    </row>
    <row r="66" spans="1:9" ht="15" customHeight="1" x14ac:dyDescent="0.25">
      <c r="A66" s="408" t="s">
        <v>228</v>
      </c>
      <c r="B66" s="409">
        <v>199.2</v>
      </c>
      <c r="C66" s="410">
        <f t="shared" si="4"/>
        <v>0.31125000000000003</v>
      </c>
      <c r="D66" s="411" t="s">
        <v>175</v>
      </c>
      <c r="E66" s="411" t="s">
        <v>175</v>
      </c>
      <c r="F66" s="412" t="s">
        <v>130</v>
      </c>
      <c r="G66" s="413"/>
      <c r="H66" s="433"/>
      <c r="I66" s="387" t="str">
        <f>IF(EXACT(F66, G66), "none", IF(ISNUMBER(MATCH(G66, 'MP Analysis Input'!$A$15:$A$21, 0)), "soft", "hard"))</f>
        <v>hard</v>
      </c>
    </row>
    <row r="67" spans="1:9" ht="15" customHeight="1" x14ac:dyDescent="0.25">
      <c r="A67" s="408" t="s">
        <v>229</v>
      </c>
      <c r="B67" s="409">
        <v>251.4</v>
      </c>
      <c r="C67" s="410">
        <f t="shared" si="4"/>
        <v>0.39281250000000001</v>
      </c>
      <c r="D67" s="411" t="s">
        <v>171</v>
      </c>
      <c r="E67" s="411" t="s">
        <v>171</v>
      </c>
      <c r="F67" s="412" t="s">
        <v>122</v>
      </c>
      <c r="G67" s="413"/>
      <c r="H67" s="433"/>
      <c r="I67" s="387" t="str">
        <f>IF(EXACT(F67, G67), "none", IF(ISNUMBER(MATCH(G67, 'MP Analysis Input'!$A$15:$A$21, 0)), "soft", "hard"))</f>
        <v>hard</v>
      </c>
    </row>
    <row r="68" spans="1:9" ht="15" customHeight="1" x14ac:dyDescent="0.25">
      <c r="A68" s="408" t="s">
        <v>230</v>
      </c>
      <c r="B68" s="409">
        <v>220.1</v>
      </c>
      <c r="C68" s="410">
        <f t="shared" si="4"/>
        <v>0.34390625000000002</v>
      </c>
      <c r="D68" s="411" t="s">
        <v>171</v>
      </c>
      <c r="E68" s="411" t="s">
        <v>171</v>
      </c>
      <c r="F68" s="412" t="s">
        <v>171</v>
      </c>
      <c r="G68" s="413"/>
      <c r="H68" s="433"/>
      <c r="I68" s="387" t="str">
        <f>IF(EXACT(F68, G68), "none", IF(ISNUMBER(MATCH(G68, 'MP Analysis Input'!$A$15:$A$21, 0)), "soft", "hard"))</f>
        <v>hard</v>
      </c>
    </row>
    <row r="69" spans="1:9" ht="15" customHeight="1" x14ac:dyDescent="0.25">
      <c r="A69" s="408" t="s">
        <v>231</v>
      </c>
      <c r="B69" s="409">
        <v>475.8</v>
      </c>
      <c r="C69" s="410">
        <f t="shared" si="4"/>
        <v>0.74343750000000008</v>
      </c>
      <c r="D69" s="411" t="s">
        <v>171</v>
      </c>
      <c r="E69" s="411" t="s">
        <v>171</v>
      </c>
      <c r="F69" s="412" t="s">
        <v>171</v>
      </c>
      <c r="G69" s="413"/>
      <c r="H69" s="433"/>
      <c r="I69" s="387" t="str">
        <f>IF(EXACT(F69, G69), "none", IF(ISNUMBER(MATCH(G69, 'MP Analysis Input'!$A$15:$A$21, 0)), "soft", "hard"))</f>
        <v>hard</v>
      </c>
    </row>
    <row r="70" spans="1:9" ht="15" customHeight="1" x14ac:dyDescent="0.25">
      <c r="A70" s="408" t="s">
        <v>232</v>
      </c>
      <c r="B70" s="409">
        <v>225.4</v>
      </c>
      <c r="C70" s="410">
        <f t="shared" si="4"/>
        <v>0.35218750000000004</v>
      </c>
      <c r="D70" s="411" t="s">
        <v>171</v>
      </c>
      <c r="E70" s="411" t="s">
        <v>171</v>
      </c>
      <c r="F70" s="412" t="s">
        <v>171</v>
      </c>
      <c r="G70" s="413"/>
      <c r="H70" s="433"/>
      <c r="I70" s="387" t="str">
        <f>IF(EXACT(F70, G70), "none", IF(ISNUMBER(MATCH(G70, 'MP Analysis Input'!$A$15:$A$21, 0)), "soft", "hard"))</f>
        <v>hard</v>
      </c>
    </row>
    <row r="71" spans="1:9" ht="15" customHeight="1" x14ac:dyDescent="0.25">
      <c r="A71" s="408" t="s">
        <v>233</v>
      </c>
      <c r="B71" s="409">
        <v>1099.7</v>
      </c>
      <c r="C71" s="410">
        <f t="shared" si="4"/>
        <v>1.7182812500000002</v>
      </c>
      <c r="D71" s="411" t="s">
        <v>171</v>
      </c>
      <c r="E71" s="411" t="s">
        <v>171</v>
      </c>
      <c r="F71" s="412" t="s">
        <v>171</v>
      </c>
      <c r="G71" s="413"/>
      <c r="H71" s="433"/>
      <c r="I71" s="387" t="str">
        <f>IF(EXACT(F71, G71), "none", IF(ISNUMBER(MATCH(G71, 'MP Analysis Input'!$A$15:$A$21, 0)), "soft", "hard"))</f>
        <v>hard</v>
      </c>
    </row>
    <row r="72" spans="1:9" ht="15" customHeight="1" x14ac:dyDescent="0.25">
      <c r="A72" s="408" t="s">
        <v>234</v>
      </c>
      <c r="B72" s="409">
        <v>180.3</v>
      </c>
      <c r="C72" s="410">
        <f t="shared" si="4"/>
        <v>0.28171875000000002</v>
      </c>
      <c r="D72" s="411" t="s">
        <v>171</v>
      </c>
      <c r="E72" s="411" t="s">
        <v>171</v>
      </c>
      <c r="F72" s="412" t="s">
        <v>181</v>
      </c>
      <c r="G72" s="413"/>
      <c r="H72" s="433"/>
      <c r="I72" s="387" t="str">
        <f>IF(EXACT(F72, G72), "none", IF(ISNUMBER(MATCH(G72, 'MP Analysis Input'!$A$15:$A$21, 0)), "soft", "hard"))</f>
        <v>hard</v>
      </c>
    </row>
    <row r="73" spans="1:9" ht="15" customHeight="1" x14ac:dyDescent="0.25">
      <c r="A73" s="408" t="s">
        <v>235</v>
      </c>
      <c r="B73" s="409">
        <v>42.3</v>
      </c>
      <c r="C73" s="410">
        <f t="shared" si="4"/>
        <v>6.6093749999999993E-2</v>
      </c>
      <c r="D73" s="411" t="s">
        <v>171</v>
      </c>
      <c r="E73" s="411" t="s">
        <v>171</v>
      </c>
      <c r="F73" s="412" t="s">
        <v>181</v>
      </c>
      <c r="G73" s="413"/>
      <c r="H73" s="433"/>
      <c r="I73" s="387" t="str">
        <f>IF(EXACT(F73, G73), "none", IF(ISNUMBER(MATCH(G73, 'MP Analysis Input'!$A$15:$A$21, 0)), "soft", "hard"))</f>
        <v>hard</v>
      </c>
    </row>
    <row r="74" spans="1:9" ht="15" customHeight="1" x14ac:dyDescent="0.25">
      <c r="A74" s="408" t="s">
        <v>236</v>
      </c>
      <c r="B74" s="409">
        <v>65.2</v>
      </c>
      <c r="C74" s="410">
        <f t="shared" si="4"/>
        <v>0.10187500000000001</v>
      </c>
      <c r="D74" s="411" t="s">
        <v>122</v>
      </c>
      <c r="E74" s="411" t="s">
        <v>122</v>
      </c>
      <c r="F74" s="412" t="s">
        <v>122</v>
      </c>
      <c r="G74" s="413"/>
      <c r="H74" s="433"/>
      <c r="I74" s="387" t="str">
        <f>IF(EXACT(F74, G74), "none", IF(ISNUMBER(MATCH(G74, 'MP Analysis Input'!$A$15:$A$21, 0)), "soft", "hard"))</f>
        <v>hard</v>
      </c>
    </row>
    <row r="75" spans="1:9" ht="15" customHeight="1" x14ac:dyDescent="0.25">
      <c r="A75" s="408" t="s">
        <v>237</v>
      </c>
      <c r="B75" s="409">
        <v>170.2</v>
      </c>
      <c r="C75" s="410">
        <f t="shared" si="4"/>
        <v>0.26593749999999999</v>
      </c>
      <c r="D75" s="411" t="s">
        <v>171</v>
      </c>
      <c r="E75" s="411" t="s">
        <v>137</v>
      </c>
      <c r="F75" s="412" t="s">
        <v>137</v>
      </c>
      <c r="G75" s="413"/>
      <c r="H75" s="433"/>
      <c r="I75" s="387" t="str">
        <f>IF(EXACT(F75, G75), "none", IF(ISNUMBER(MATCH(G75, 'MP Analysis Input'!$A$15:$A$21, 0)), "soft", "hard"))</f>
        <v>hard</v>
      </c>
    </row>
    <row r="76" spans="1:9" ht="15" customHeight="1" x14ac:dyDescent="0.25">
      <c r="A76" s="408" t="s">
        <v>238</v>
      </c>
      <c r="B76" s="409">
        <v>257.3</v>
      </c>
      <c r="C76" s="410">
        <f t="shared" si="4"/>
        <v>0.40203125000000006</v>
      </c>
      <c r="D76" s="411" t="s">
        <v>171</v>
      </c>
      <c r="E76" s="411" t="s">
        <v>171</v>
      </c>
      <c r="F76" s="412" t="s">
        <v>171</v>
      </c>
      <c r="G76" s="413"/>
      <c r="H76" s="433"/>
      <c r="I76" s="387" t="str">
        <f>IF(EXACT(F76, G76), "none", IF(ISNUMBER(MATCH(G76, 'MP Analysis Input'!$A$15:$A$21, 0)), "soft", "hard"))</f>
        <v>hard</v>
      </c>
    </row>
    <row r="77" spans="1:9" ht="15" customHeight="1" x14ac:dyDescent="0.25">
      <c r="A77" s="408" t="s">
        <v>239</v>
      </c>
      <c r="B77" s="409">
        <v>818.3</v>
      </c>
      <c r="C77" s="410">
        <f t="shared" si="4"/>
        <v>1.27859375</v>
      </c>
      <c r="D77" s="411" t="s">
        <v>171</v>
      </c>
      <c r="E77" s="411" t="s">
        <v>171</v>
      </c>
      <c r="F77" s="412" t="s">
        <v>171</v>
      </c>
      <c r="G77" s="413"/>
      <c r="H77" s="433"/>
      <c r="I77" s="387" t="str">
        <f>IF(EXACT(F77, G77), "none", IF(ISNUMBER(MATCH(G77, 'MP Analysis Input'!$A$15:$A$21, 0)), "soft", "hard"))</f>
        <v>hard</v>
      </c>
    </row>
    <row r="78" spans="1:9" ht="15" customHeight="1" x14ac:dyDescent="0.25">
      <c r="A78" s="408" t="s">
        <v>240</v>
      </c>
      <c r="B78" s="409">
        <v>851.2</v>
      </c>
      <c r="C78" s="410">
        <f t="shared" si="4"/>
        <v>1.33</v>
      </c>
      <c r="D78" s="411" t="s">
        <v>171</v>
      </c>
      <c r="E78" s="411" t="s">
        <v>171</v>
      </c>
      <c r="F78" s="412" t="s">
        <v>171</v>
      </c>
      <c r="G78" s="413"/>
      <c r="H78" s="433"/>
      <c r="I78" s="387" t="str">
        <f>IF(EXACT(F78, G78), "none", IF(ISNUMBER(MATCH(G78, 'MP Analysis Input'!$A$15:$A$21, 0)), "soft", "hard"))</f>
        <v>hard</v>
      </c>
    </row>
    <row r="79" spans="1:9" ht="15" customHeight="1" x14ac:dyDescent="0.25">
      <c r="A79" s="408" t="s">
        <v>241</v>
      </c>
      <c r="B79" s="409">
        <v>50.4</v>
      </c>
      <c r="C79" s="410">
        <f t="shared" si="4"/>
        <v>7.8750000000000001E-2</v>
      </c>
      <c r="D79" s="411" t="s">
        <v>171</v>
      </c>
      <c r="E79" s="411" t="s">
        <v>171</v>
      </c>
      <c r="F79" s="412" t="s">
        <v>122</v>
      </c>
      <c r="G79" s="413"/>
      <c r="H79" s="433"/>
      <c r="I79" s="387" t="str">
        <f>IF(EXACT(F79, G79), "none", IF(ISNUMBER(MATCH(G79, 'MP Analysis Input'!$A$15:$A$21, 0)), "soft", "hard"))</f>
        <v>hard</v>
      </c>
    </row>
    <row r="80" spans="1:9" ht="15" customHeight="1" x14ac:dyDescent="0.25">
      <c r="A80" s="408" t="s">
        <v>242</v>
      </c>
      <c r="B80" s="409">
        <v>547.6</v>
      </c>
      <c r="C80" s="410">
        <f t="shared" si="4"/>
        <v>0.85562500000000008</v>
      </c>
      <c r="D80" s="411" t="s">
        <v>171</v>
      </c>
      <c r="E80" s="411" t="s">
        <v>171</v>
      </c>
      <c r="F80" s="412" t="s">
        <v>171</v>
      </c>
      <c r="G80" s="413"/>
      <c r="H80" s="433"/>
      <c r="I80" s="387" t="str">
        <f>IF(EXACT(F80, G80), "none", IF(ISNUMBER(MATCH(G80, 'MP Analysis Input'!$A$15:$A$21, 0)), "soft", "hard"))</f>
        <v>hard</v>
      </c>
    </row>
    <row r="81" spans="1:9" ht="15" customHeight="1" x14ac:dyDescent="0.25">
      <c r="A81" s="408" t="s">
        <v>243</v>
      </c>
      <c r="B81" s="409">
        <v>545.29999999999995</v>
      </c>
      <c r="C81" s="410">
        <f t="shared" si="4"/>
        <v>0.85203125000000002</v>
      </c>
      <c r="D81" s="411" t="s">
        <v>171</v>
      </c>
      <c r="E81" s="411" t="s">
        <v>171</v>
      </c>
      <c r="F81" s="412" t="s">
        <v>171</v>
      </c>
      <c r="G81" s="413"/>
      <c r="H81" s="433"/>
      <c r="I81" s="387" t="str">
        <f>IF(EXACT(F81, G81), "none", IF(ISNUMBER(MATCH(G81, 'MP Analysis Input'!$A$15:$A$21, 0)), "soft", "hard"))</f>
        <v>hard</v>
      </c>
    </row>
    <row r="82" spans="1:9" ht="15" customHeight="1" x14ac:dyDescent="0.25">
      <c r="A82" s="408" t="s">
        <v>244</v>
      </c>
      <c r="B82" s="409">
        <v>453</v>
      </c>
      <c r="C82" s="410">
        <f t="shared" si="4"/>
        <v>0.70781250000000007</v>
      </c>
      <c r="D82" s="411" t="s">
        <v>171</v>
      </c>
      <c r="E82" s="411" t="s">
        <v>171</v>
      </c>
      <c r="F82" s="412" t="s">
        <v>154</v>
      </c>
      <c r="G82" s="413"/>
      <c r="H82" s="433"/>
      <c r="I82" s="387" t="str">
        <f>IF(EXACT(F82, G82), "none", IF(ISNUMBER(MATCH(G82, 'MP Analysis Input'!$A$15:$A$21, 0)), "soft", "hard"))</f>
        <v>hard</v>
      </c>
    </row>
    <row r="83" spans="1:9" ht="15" customHeight="1" x14ac:dyDescent="0.25">
      <c r="A83" s="408" t="s">
        <v>245</v>
      </c>
      <c r="B83" s="409">
        <v>300</v>
      </c>
      <c r="C83" s="410">
        <f t="shared" si="4"/>
        <v>0.46875</v>
      </c>
      <c r="D83" s="411" t="s">
        <v>171</v>
      </c>
      <c r="E83" s="411" t="s">
        <v>171</v>
      </c>
      <c r="F83" s="412" t="s">
        <v>154</v>
      </c>
      <c r="G83" s="413"/>
      <c r="H83" s="433"/>
      <c r="I83" s="387" t="str">
        <f>IF(EXACT(F83, G83), "none", IF(ISNUMBER(MATCH(G83, 'MP Analysis Input'!$A$15:$A$21, 0)), "soft", "hard"))</f>
        <v>hard</v>
      </c>
    </row>
    <row r="84" spans="1:9" ht="15" customHeight="1" x14ac:dyDescent="0.25">
      <c r="A84" s="408" t="s">
        <v>246</v>
      </c>
      <c r="B84" s="409">
        <v>219.8</v>
      </c>
      <c r="C84" s="410">
        <f t="shared" si="4"/>
        <v>0.34343750000000006</v>
      </c>
      <c r="D84" s="411" t="s">
        <v>175</v>
      </c>
      <c r="E84" s="411" t="s">
        <v>175</v>
      </c>
      <c r="F84" s="412" t="s">
        <v>175</v>
      </c>
      <c r="G84" s="413"/>
      <c r="H84" s="433"/>
      <c r="I84" s="387" t="str">
        <f>IF(EXACT(F84, G84), "none", IF(ISNUMBER(MATCH(G84, 'MP Analysis Input'!$A$15:$A$21, 0)), "soft", "hard"))</f>
        <v>hard</v>
      </c>
    </row>
    <row r="85" spans="1:9" ht="15" customHeight="1" x14ac:dyDescent="0.25">
      <c r="A85" s="408" t="s">
        <v>247</v>
      </c>
      <c r="B85" s="409">
        <v>479.5</v>
      </c>
      <c r="C85" s="410">
        <f t="shared" si="4"/>
        <v>0.74921875000000004</v>
      </c>
      <c r="D85" s="411" t="s">
        <v>175</v>
      </c>
      <c r="E85" s="411" t="s">
        <v>175</v>
      </c>
      <c r="F85" s="412" t="s">
        <v>175</v>
      </c>
      <c r="G85" s="413"/>
      <c r="H85" s="433"/>
      <c r="I85" s="387" t="str">
        <f>IF(EXACT(F85, G85), "none", IF(ISNUMBER(MATCH(G85, 'MP Analysis Input'!$A$15:$A$21, 0)), "soft", "hard"))</f>
        <v>hard</v>
      </c>
    </row>
    <row r="86" spans="1:9" ht="15" customHeight="1" x14ac:dyDescent="0.25">
      <c r="A86" s="408" t="s">
        <v>248</v>
      </c>
      <c r="B86" s="409">
        <v>258.10000000000002</v>
      </c>
      <c r="C86" s="410">
        <f t="shared" ref="C86:C117" si="5">B86*0.0015625</f>
        <v>0.40328125000000004</v>
      </c>
      <c r="D86" s="411" t="s">
        <v>175</v>
      </c>
      <c r="E86" s="411" t="s">
        <v>175</v>
      </c>
      <c r="F86" s="412" t="s">
        <v>122</v>
      </c>
      <c r="G86" s="413"/>
      <c r="H86" s="433"/>
      <c r="I86" s="387" t="str">
        <f>IF(EXACT(F86, G86), "none", IF(ISNUMBER(MATCH(G86, 'MP Analysis Input'!$A$15:$A$21, 0)), "soft", "hard"))</f>
        <v>hard</v>
      </c>
    </row>
    <row r="87" spans="1:9" ht="15" customHeight="1" x14ac:dyDescent="0.25">
      <c r="A87" s="408" t="s">
        <v>249</v>
      </c>
      <c r="B87" s="409">
        <v>163.30000000000001</v>
      </c>
      <c r="C87" s="410">
        <f t="shared" si="5"/>
        <v>0.25515625000000003</v>
      </c>
      <c r="D87" s="411" t="s">
        <v>171</v>
      </c>
      <c r="E87" s="411" t="s">
        <v>171</v>
      </c>
      <c r="F87" s="412" t="s">
        <v>122</v>
      </c>
      <c r="G87" s="413"/>
      <c r="H87" s="433"/>
      <c r="I87" s="387" t="str">
        <f>IF(EXACT(F87, G87), "none", IF(ISNUMBER(MATCH(G87, 'MP Analysis Input'!$A$15:$A$21, 0)), "soft", "hard"))</f>
        <v>hard</v>
      </c>
    </row>
    <row r="88" spans="1:9" ht="15" customHeight="1" x14ac:dyDescent="0.25">
      <c r="A88" s="408" t="s">
        <v>250</v>
      </c>
      <c r="B88" s="409">
        <v>689.3</v>
      </c>
      <c r="C88" s="410">
        <f t="shared" si="5"/>
        <v>1.0770312499999999</v>
      </c>
      <c r="D88" s="411" t="s">
        <v>171</v>
      </c>
      <c r="E88" s="411" t="s">
        <v>171</v>
      </c>
      <c r="F88" s="412" t="s">
        <v>112</v>
      </c>
      <c r="G88" s="413"/>
      <c r="H88" s="433"/>
      <c r="I88" s="387" t="str">
        <f>IF(EXACT(F88, G88), "none", IF(ISNUMBER(MATCH(G88, 'MP Analysis Input'!$A$15:$A$21, 0)), "soft", "hard"))</f>
        <v>hard</v>
      </c>
    </row>
    <row r="89" spans="1:9" ht="15" customHeight="1" x14ac:dyDescent="0.25">
      <c r="A89" s="408" t="s">
        <v>251</v>
      </c>
      <c r="B89" s="409">
        <v>316.89999999999998</v>
      </c>
      <c r="C89" s="410">
        <f t="shared" si="5"/>
        <v>0.49515624999999996</v>
      </c>
      <c r="D89" s="411" t="s">
        <v>175</v>
      </c>
      <c r="E89" s="411" t="s">
        <v>175</v>
      </c>
      <c r="F89" s="412" t="s">
        <v>175</v>
      </c>
      <c r="G89" s="413"/>
      <c r="H89" s="433"/>
      <c r="I89" s="387" t="str">
        <f>IF(EXACT(F89, G89), "none", IF(ISNUMBER(MATCH(G89, 'MP Analysis Input'!$A$15:$A$21, 0)), "soft", "hard"))</f>
        <v>hard</v>
      </c>
    </row>
    <row r="90" spans="1:9" ht="15" customHeight="1" x14ac:dyDescent="0.25">
      <c r="A90" s="408" t="s">
        <v>252</v>
      </c>
      <c r="B90" s="409">
        <v>172.8</v>
      </c>
      <c r="C90" s="410">
        <f t="shared" si="5"/>
        <v>0.27</v>
      </c>
      <c r="D90" s="411" t="s">
        <v>175</v>
      </c>
      <c r="E90" s="411" t="s">
        <v>175</v>
      </c>
      <c r="F90" s="412" t="s">
        <v>175</v>
      </c>
      <c r="G90" s="413"/>
      <c r="H90" s="433"/>
      <c r="I90" s="387" t="str">
        <f>IF(EXACT(F90, G90), "none", IF(ISNUMBER(MATCH(G90, 'MP Analysis Input'!$A$15:$A$21, 0)), "soft", "hard"))</f>
        <v>hard</v>
      </c>
    </row>
    <row r="91" spans="1:9" ht="15" customHeight="1" x14ac:dyDescent="0.25">
      <c r="A91" s="408" t="s">
        <v>253</v>
      </c>
      <c r="B91" s="409">
        <v>112.2</v>
      </c>
      <c r="C91" s="410">
        <f t="shared" si="5"/>
        <v>0.17531250000000001</v>
      </c>
      <c r="D91" s="411" t="s">
        <v>149</v>
      </c>
      <c r="E91" s="411" t="s">
        <v>149</v>
      </c>
      <c r="F91" s="412" t="s">
        <v>154</v>
      </c>
      <c r="G91" s="413"/>
      <c r="H91" s="433"/>
      <c r="I91" s="387" t="str">
        <f>IF(EXACT(F91, G91), "none", IF(ISNUMBER(MATCH(G91, 'MP Analysis Input'!$A$15:$A$21, 0)), "soft", "hard"))</f>
        <v>hard</v>
      </c>
    </row>
    <row r="92" spans="1:9" ht="15" customHeight="1" x14ac:dyDescent="0.25">
      <c r="A92" s="408" t="s">
        <v>343</v>
      </c>
      <c r="B92" s="409">
        <v>601.16265199999998</v>
      </c>
      <c r="C92" s="410">
        <f t="shared" si="5"/>
        <v>0.93931664375000001</v>
      </c>
      <c r="D92" s="411" t="s">
        <v>149</v>
      </c>
      <c r="E92" s="411" t="s">
        <v>149</v>
      </c>
      <c r="F92" s="412" t="s">
        <v>133</v>
      </c>
      <c r="G92" s="413"/>
      <c r="H92" s="433"/>
      <c r="I92" s="387" t="str">
        <f>IF(EXACT(F92, G92), "none", IF(ISNUMBER(MATCH(G92, 'MP Analysis Input'!$A$15:$A$21, 0)), "soft", "hard"))</f>
        <v>hard</v>
      </c>
    </row>
    <row r="93" spans="1:9" ht="15" customHeight="1" x14ac:dyDescent="0.25">
      <c r="A93" s="408" t="s">
        <v>254</v>
      </c>
      <c r="B93" s="409">
        <v>67.3</v>
      </c>
      <c r="C93" s="410">
        <f t="shared" si="5"/>
        <v>0.10515625000000001</v>
      </c>
      <c r="D93" s="411" t="s">
        <v>175</v>
      </c>
      <c r="E93" s="411" t="s">
        <v>175</v>
      </c>
      <c r="F93" s="412" t="s">
        <v>133</v>
      </c>
      <c r="G93" s="413"/>
      <c r="H93" s="433"/>
      <c r="I93" s="387" t="str">
        <f>IF(EXACT(F93, G93), "none", IF(ISNUMBER(MATCH(G93, 'MP Analysis Input'!$A$15:$A$21, 0)), "soft", "hard"))</f>
        <v>hard</v>
      </c>
    </row>
    <row r="94" spans="1:9" ht="15" customHeight="1" x14ac:dyDescent="0.25">
      <c r="A94" s="408" t="s">
        <v>255</v>
      </c>
      <c r="B94" s="409">
        <v>91.6</v>
      </c>
      <c r="C94" s="410">
        <f t="shared" si="5"/>
        <v>0.143125</v>
      </c>
      <c r="D94" s="411" t="s">
        <v>175</v>
      </c>
      <c r="E94" s="411" t="s">
        <v>175</v>
      </c>
      <c r="F94" s="412" t="s">
        <v>133</v>
      </c>
      <c r="G94" s="413"/>
      <c r="H94" s="433"/>
      <c r="I94" s="387" t="str">
        <f>IF(EXACT(F94, G94), "none", IF(ISNUMBER(MATCH(G94, 'MP Analysis Input'!$A$15:$A$21, 0)), "soft", "hard"))</f>
        <v>hard</v>
      </c>
    </row>
    <row r="95" spans="1:9" ht="15" customHeight="1" x14ac:dyDescent="0.25">
      <c r="A95" s="408" t="s">
        <v>344</v>
      </c>
      <c r="B95" s="409">
        <v>30.981491999999999</v>
      </c>
      <c r="C95" s="410">
        <f t="shared" si="5"/>
        <v>4.8408581249999999E-2</v>
      </c>
      <c r="D95" s="411" t="s">
        <v>149</v>
      </c>
      <c r="E95" s="411" t="s">
        <v>149</v>
      </c>
      <c r="F95" s="412" t="s">
        <v>133</v>
      </c>
      <c r="G95" s="413"/>
      <c r="H95" s="433"/>
      <c r="I95" s="387" t="str">
        <f>IF(EXACT(F95, G95), "none", IF(ISNUMBER(MATCH(G95, 'MP Analysis Input'!$A$15:$A$21, 0)), "soft", "hard"))</f>
        <v>hard</v>
      </c>
    </row>
    <row r="96" spans="1:9" ht="15" customHeight="1" x14ac:dyDescent="0.25">
      <c r="A96" s="408" t="s">
        <v>256</v>
      </c>
      <c r="B96" s="409">
        <v>288.39999999999998</v>
      </c>
      <c r="C96" s="410">
        <f t="shared" si="5"/>
        <v>0.450625</v>
      </c>
      <c r="D96" s="411" t="s">
        <v>171</v>
      </c>
      <c r="E96" s="411" t="s">
        <v>171</v>
      </c>
      <c r="F96" s="412" t="s">
        <v>154</v>
      </c>
      <c r="G96" s="413"/>
      <c r="H96" s="433"/>
      <c r="I96" s="387" t="str">
        <f>IF(EXACT(F96, G96), "none", IF(ISNUMBER(MATCH(G96, 'MP Analysis Input'!$A$15:$A$21, 0)), "soft", "hard"))</f>
        <v>hard</v>
      </c>
    </row>
    <row r="97" spans="1:9" ht="15" customHeight="1" x14ac:dyDescent="0.25">
      <c r="A97" s="408" t="s">
        <v>257</v>
      </c>
      <c r="B97" s="409">
        <v>357.2</v>
      </c>
      <c r="C97" s="410">
        <f t="shared" si="5"/>
        <v>0.55812499999999998</v>
      </c>
      <c r="D97" s="411" t="s">
        <v>171</v>
      </c>
      <c r="E97" s="411" t="s">
        <v>171</v>
      </c>
      <c r="F97" s="412" t="s">
        <v>154</v>
      </c>
      <c r="G97" s="413"/>
      <c r="H97" s="433"/>
      <c r="I97" s="387" t="str">
        <f>IF(EXACT(F97, G97), "none", IF(ISNUMBER(MATCH(G97, 'MP Analysis Input'!$A$15:$A$21, 0)), "soft", "hard"))</f>
        <v>hard</v>
      </c>
    </row>
    <row r="98" spans="1:9" ht="15" customHeight="1" x14ac:dyDescent="0.25">
      <c r="A98" s="408" t="s">
        <v>258</v>
      </c>
      <c r="B98" s="409">
        <v>275.8</v>
      </c>
      <c r="C98" s="410">
        <f t="shared" si="5"/>
        <v>0.43093750000000003</v>
      </c>
      <c r="D98" s="411" t="s">
        <v>175</v>
      </c>
      <c r="E98" s="411" t="s">
        <v>175</v>
      </c>
      <c r="F98" s="412" t="s">
        <v>175</v>
      </c>
      <c r="G98" s="413"/>
      <c r="H98" s="433"/>
      <c r="I98" s="387" t="str">
        <f>IF(EXACT(F98, G98), "none", IF(ISNUMBER(MATCH(G98, 'MP Analysis Input'!$A$15:$A$21, 0)), "soft", "hard"))</f>
        <v>hard</v>
      </c>
    </row>
    <row r="99" spans="1:9" ht="15" customHeight="1" x14ac:dyDescent="0.25">
      <c r="A99" s="408" t="s">
        <v>259</v>
      </c>
      <c r="B99" s="409">
        <v>391.6</v>
      </c>
      <c r="C99" s="410">
        <f t="shared" si="5"/>
        <v>0.61187500000000006</v>
      </c>
      <c r="D99" s="411" t="s">
        <v>175</v>
      </c>
      <c r="E99" s="411" t="s">
        <v>175</v>
      </c>
      <c r="F99" s="412" t="s">
        <v>175</v>
      </c>
      <c r="G99" s="413"/>
      <c r="H99" s="433"/>
      <c r="I99" s="387" t="str">
        <f>IF(EXACT(F99, G99), "none", IF(ISNUMBER(MATCH(G99, 'MP Analysis Input'!$A$15:$A$21, 0)), "soft", "hard"))</f>
        <v>hard</v>
      </c>
    </row>
    <row r="100" spans="1:9" ht="15" customHeight="1" x14ac:dyDescent="0.25">
      <c r="A100" s="408" t="s">
        <v>260</v>
      </c>
      <c r="B100" s="409">
        <v>21.4</v>
      </c>
      <c r="C100" s="410">
        <f t="shared" si="5"/>
        <v>3.3437500000000002E-2</v>
      </c>
      <c r="D100" s="411" t="s">
        <v>122</v>
      </c>
      <c r="E100" s="411" t="s">
        <v>122</v>
      </c>
      <c r="F100" s="412" t="s">
        <v>122</v>
      </c>
      <c r="G100" s="413"/>
      <c r="H100" s="433"/>
      <c r="I100" s="387" t="str">
        <f>IF(EXACT(F100, G100), "none", IF(ISNUMBER(MATCH(G100, 'MP Analysis Input'!$A$15:$A$21, 0)), "soft", "hard"))</f>
        <v>hard</v>
      </c>
    </row>
    <row r="101" spans="1:9" ht="15" customHeight="1" x14ac:dyDescent="0.25">
      <c r="A101" s="408" t="s">
        <v>261</v>
      </c>
      <c r="B101" s="409">
        <v>143.1</v>
      </c>
      <c r="C101" s="410">
        <f t="shared" si="5"/>
        <v>0.22359375000000001</v>
      </c>
      <c r="D101" s="411" t="s">
        <v>122</v>
      </c>
      <c r="E101" s="411" t="s">
        <v>122</v>
      </c>
      <c r="F101" s="412" t="s">
        <v>122</v>
      </c>
      <c r="G101" s="413"/>
      <c r="H101" s="433"/>
      <c r="I101" s="387" t="str">
        <f>IF(EXACT(F101, G101), "none", IF(ISNUMBER(MATCH(G101, 'MP Analysis Input'!$A$15:$A$21, 0)), "soft", "hard"))</f>
        <v>hard</v>
      </c>
    </row>
    <row r="102" spans="1:9" ht="15" customHeight="1" x14ac:dyDescent="0.25">
      <c r="A102" s="408" t="s">
        <v>262</v>
      </c>
      <c r="B102" s="409">
        <v>82.6</v>
      </c>
      <c r="C102" s="410">
        <f t="shared" si="5"/>
        <v>0.1290625</v>
      </c>
      <c r="D102" s="411" t="s">
        <v>122</v>
      </c>
      <c r="E102" s="411" t="s">
        <v>122</v>
      </c>
      <c r="F102" s="412" t="s">
        <v>122</v>
      </c>
      <c r="G102" s="413"/>
      <c r="H102" s="433"/>
      <c r="I102" s="387" t="str">
        <f>IF(EXACT(F102, G102), "none", IF(ISNUMBER(MATCH(G102, 'MP Analysis Input'!$A$15:$A$21, 0)), "soft", "hard"))</f>
        <v>hard</v>
      </c>
    </row>
    <row r="103" spans="1:9" ht="15" customHeight="1" x14ac:dyDescent="0.25">
      <c r="A103" s="408" t="s">
        <v>345</v>
      </c>
      <c r="B103" s="409">
        <v>115.6</v>
      </c>
      <c r="C103" s="410">
        <f t="shared" si="5"/>
        <v>0.18062500000000001</v>
      </c>
      <c r="D103" s="411" t="s">
        <v>149</v>
      </c>
      <c r="E103" s="411" t="s">
        <v>149</v>
      </c>
      <c r="F103" s="412" t="s">
        <v>133</v>
      </c>
      <c r="G103" s="413"/>
      <c r="H103" s="433"/>
      <c r="I103" s="387" t="str">
        <f>IF(EXACT(F103, G103), "none", IF(ISNUMBER(MATCH(G103, 'MP Analysis Input'!$A$15:$A$21, 0)), "soft", "hard"))</f>
        <v>hard</v>
      </c>
    </row>
    <row r="104" spans="1:9" ht="15" customHeight="1" x14ac:dyDescent="0.25">
      <c r="A104" s="408" t="s">
        <v>263</v>
      </c>
      <c r="B104" s="409">
        <v>377.8</v>
      </c>
      <c r="C104" s="410">
        <f t="shared" si="5"/>
        <v>0.59031250000000002</v>
      </c>
      <c r="D104" s="411" t="s">
        <v>149</v>
      </c>
      <c r="E104" s="411" t="s">
        <v>149</v>
      </c>
      <c r="F104" s="412" t="s">
        <v>137</v>
      </c>
      <c r="G104" s="413"/>
      <c r="H104" s="433"/>
      <c r="I104" s="387" t="str">
        <f>IF(EXACT(F104, G104), "none", IF(ISNUMBER(MATCH(G104, 'MP Analysis Input'!$A$15:$A$21, 0)), "soft", "hard"))</f>
        <v>hard</v>
      </c>
    </row>
    <row r="105" spans="1:9" ht="15" customHeight="1" x14ac:dyDescent="0.25">
      <c r="A105" s="408" t="s">
        <v>346</v>
      </c>
      <c r="B105" s="409">
        <v>116.251661</v>
      </c>
      <c r="C105" s="410">
        <f t="shared" si="5"/>
        <v>0.18164322031250002</v>
      </c>
      <c r="D105" s="411" t="s">
        <v>149</v>
      </c>
      <c r="E105" s="411" t="s">
        <v>149</v>
      </c>
      <c r="F105" s="412" t="s">
        <v>140</v>
      </c>
      <c r="G105" s="413"/>
      <c r="H105" s="433"/>
      <c r="I105" s="387" t="str">
        <f>IF(EXACT(F105, G105), "none", IF(ISNUMBER(MATCH(G105, 'MP Analysis Input'!$A$15:$A$21, 0)), "soft", "hard"))</f>
        <v>hard</v>
      </c>
    </row>
    <row r="106" spans="1:9" ht="15" customHeight="1" x14ac:dyDescent="0.25">
      <c r="A106" s="408" t="s">
        <v>347</v>
      </c>
      <c r="B106" s="409">
        <v>41.566608000000002</v>
      </c>
      <c r="C106" s="410">
        <f t="shared" si="5"/>
        <v>6.4947825000000001E-2</v>
      </c>
      <c r="D106" s="411" t="s">
        <v>149</v>
      </c>
      <c r="E106" s="411" t="s">
        <v>149</v>
      </c>
      <c r="F106" s="412" t="s">
        <v>137</v>
      </c>
      <c r="G106" s="413"/>
      <c r="H106" s="433"/>
      <c r="I106" s="387" t="str">
        <f>IF(EXACT(F106, G106), "none", IF(ISNUMBER(MATCH(G106, 'MP Analysis Input'!$A$15:$A$21, 0)), "soft", "hard"))</f>
        <v>hard</v>
      </c>
    </row>
    <row r="107" spans="1:9" ht="15" customHeight="1" x14ac:dyDescent="0.25">
      <c r="A107" s="408" t="s">
        <v>348</v>
      </c>
      <c r="B107" s="409">
        <v>31.267749999999999</v>
      </c>
      <c r="C107" s="410">
        <f t="shared" si="5"/>
        <v>4.8855859375000005E-2</v>
      </c>
      <c r="D107" s="411" t="s">
        <v>149</v>
      </c>
      <c r="E107" s="411" t="s">
        <v>149</v>
      </c>
      <c r="F107" s="412" t="s">
        <v>137</v>
      </c>
      <c r="G107" s="413"/>
      <c r="H107" s="433"/>
      <c r="I107" s="387" t="str">
        <f>IF(EXACT(F107, G107), "none", IF(ISNUMBER(MATCH(G107, 'MP Analysis Input'!$A$15:$A$21, 0)), "soft", "hard"))</f>
        <v>hard</v>
      </c>
    </row>
    <row r="108" spans="1:9" ht="15" customHeight="1" x14ac:dyDescent="0.25">
      <c r="A108" s="408" t="s">
        <v>349</v>
      </c>
      <c r="B108" s="409">
        <v>120.05146499999999</v>
      </c>
      <c r="C108" s="410">
        <f t="shared" si="5"/>
        <v>0.18758041406250001</v>
      </c>
      <c r="D108" s="411" t="s">
        <v>149</v>
      </c>
      <c r="E108" s="411" t="s">
        <v>149</v>
      </c>
      <c r="F108" s="412" t="s">
        <v>137</v>
      </c>
      <c r="G108" s="413"/>
      <c r="H108" s="433"/>
      <c r="I108" s="387" t="str">
        <f>IF(EXACT(F108, G108), "none", IF(ISNUMBER(MATCH(G108, 'MP Analysis Input'!$A$15:$A$21, 0)), "soft", "hard"))</f>
        <v>hard</v>
      </c>
    </row>
    <row r="109" spans="1:9" ht="15" customHeight="1" x14ac:dyDescent="0.25">
      <c r="A109" s="408" t="s">
        <v>264</v>
      </c>
      <c r="B109" s="409">
        <v>149.19999999999999</v>
      </c>
      <c r="C109" s="410">
        <f t="shared" si="5"/>
        <v>0.233125</v>
      </c>
      <c r="D109" s="411" t="s">
        <v>171</v>
      </c>
      <c r="E109" s="411" t="s">
        <v>171</v>
      </c>
      <c r="F109" s="412" t="s">
        <v>181</v>
      </c>
      <c r="G109" s="413"/>
      <c r="H109" s="433"/>
      <c r="I109" s="387" t="str">
        <f>IF(EXACT(F109, G109), "none", IF(ISNUMBER(MATCH(G109, 'MP Analysis Input'!$A$15:$A$21, 0)), "soft", "hard"))</f>
        <v>hard</v>
      </c>
    </row>
    <row r="110" spans="1:9" ht="15" customHeight="1" x14ac:dyDescent="0.25">
      <c r="A110" s="408" t="s">
        <v>265</v>
      </c>
      <c r="B110" s="409">
        <v>318.7</v>
      </c>
      <c r="C110" s="410">
        <f t="shared" si="5"/>
        <v>0.49796875000000002</v>
      </c>
      <c r="D110" s="411" t="s">
        <v>171</v>
      </c>
      <c r="E110" s="411" t="s">
        <v>171</v>
      </c>
      <c r="F110" s="412" t="s">
        <v>181</v>
      </c>
      <c r="G110" s="413"/>
      <c r="H110" s="433"/>
      <c r="I110" s="387" t="str">
        <f>IF(EXACT(F110, G110), "none", IF(ISNUMBER(MATCH(G110, 'MP Analysis Input'!$A$15:$A$21, 0)), "soft", "hard"))</f>
        <v>hard</v>
      </c>
    </row>
    <row r="111" spans="1:9" ht="15" customHeight="1" x14ac:dyDescent="0.25">
      <c r="A111" s="408" t="s">
        <v>266</v>
      </c>
      <c r="B111" s="409">
        <v>77.5</v>
      </c>
      <c r="C111" s="410">
        <f t="shared" si="5"/>
        <v>0.12109375</v>
      </c>
      <c r="D111" s="411" t="s">
        <v>171</v>
      </c>
      <c r="E111" s="411" t="s">
        <v>171</v>
      </c>
      <c r="F111" s="412" t="s">
        <v>171</v>
      </c>
      <c r="G111" s="413"/>
      <c r="H111" s="433"/>
      <c r="I111" s="387" t="str">
        <f>IF(EXACT(F111, G111), "none", IF(ISNUMBER(MATCH(G111, 'MP Analysis Input'!$A$15:$A$21, 0)), "soft", "hard"))</f>
        <v>hard</v>
      </c>
    </row>
    <row r="112" spans="1:9" ht="15" customHeight="1" x14ac:dyDescent="0.25">
      <c r="A112" s="408" t="s">
        <v>267</v>
      </c>
      <c r="B112" s="409">
        <v>386.5</v>
      </c>
      <c r="C112" s="410">
        <f t="shared" si="5"/>
        <v>0.60390625000000009</v>
      </c>
      <c r="D112" s="411" t="s">
        <v>171</v>
      </c>
      <c r="E112" s="411" t="s">
        <v>171</v>
      </c>
      <c r="F112" s="412" t="s">
        <v>181</v>
      </c>
      <c r="G112" s="413"/>
      <c r="H112" s="433"/>
      <c r="I112" s="387" t="str">
        <f>IF(EXACT(F112, G112), "none", IF(ISNUMBER(MATCH(G112, 'MP Analysis Input'!$A$15:$A$21, 0)), "soft", "hard"))</f>
        <v>hard</v>
      </c>
    </row>
    <row r="113" spans="1:9" ht="15" customHeight="1" x14ac:dyDescent="0.25">
      <c r="A113" s="408" t="s">
        <v>268</v>
      </c>
      <c r="B113" s="409">
        <v>149.4</v>
      </c>
      <c r="C113" s="410">
        <f t="shared" si="5"/>
        <v>0.23343750000000002</v>
      </c>
      <c r="D113" s="411" t="s">
        <v>171</v>
      </c>
      <c r="E113" s="411" t="s">
        <v>171</v>
      </c>
      <c r="F113" s="412" t="s">
        <v>171</v>
      </c>
      <c r="G113" s="413"/>
      <c r="H113" s="433"/>
      <c r="I113" s="387" t="str">
        <f>IF(EXACT(F113, G113), "none", IF(ISNUMBER(MATCH(G113, 'MP Analysis Input'!$A$15:$A$21, 0)), "soft", "hard"))</f>
        <v>hard</v>
      </c>
    </row>
    <row r="114" spans="1:9" ht="15" customHeight="1" x14ac:dyDescent="0.25">
      <c r="A114" s="408" t="s">
        <v>269</v>
      </c>
      <c r="B114" s="409">
        <v>87.4</v>
      </c>
      <c r="C114" s="410">
        <f t="shared" si="5"/>
        <v>0.1365625</v>
      </c>
      <c r="D114" s="411" t="s">
        <v>171</v>
      </c>
      <c r="E114" s="411" t="s">
        <v>171</v>
      </c>
      <c r="F114" s="412" t="s">
        <v>171</v>
      </c>
      <c r="G114" s="413"/>
      <c r="H114" s="433"/>
      <c r="I114" s="387" t="str">
        <f>IF(EXACT(F114, G114), "none", IF(ISNUMBER(MATCH(G114, 'MP Analysis Input'!$A$15:$A$21, 0)), "soft", "hard"))</f>
        <v>hard</v>
      </c>
    </row>
    <row r="115" spans="1:9" ht="15" customHeight="1" x14ac:dyDescent="0.25">
      <c r="A115" s="408" t="s">
        <v>270</v>
      </c>
      <c r="B115" s="409">
        <v>161.5</v>
      </c>
      <c r="C115" s="410">
        <f t="shared" si="5"/>
        <v>0.25234375000000003</v>
      </c>
      <c r="D115" s="411" t="s">
        <v>175</v>
      </c>
      <c r="E115" s="411" t="s">
        <v>175</v>
      </c>
      <c r="F115" s="412" t="s">
        <v>175</v>
      </c>
      <c r="G115" s="413"/>
      <c r="H115" s="433"/>
      <c r="I115" s="387" t="str">
        <f>IF(EXACT(F115, G115), "none", IF(ISNUMBER(MATCH(G115, 'MP Analysis Input'!$A$15:$A$21, 0)), "soft", "hard"))</f>
        <v>hard</v>
      </c>
    </row>
    <row r="116" spans="1:9" ht="15" customHeight="1" x14ac:dyDescent="0.25">
      <c r="A116" s="408" t="s">
        <v>271</v>
      </c>
      <c r="B116" s="409">
        <v>67.2</v>
      </c>
      <c r="C116" s="410">
        <f t="shared" si="5"/>
        <v>0.10500000000000001</v>
      </c>
      <c r="D116" s="411" t="s">
        <v>175</v>
      </c>
      <c r="E116" s="411" t="s">
        <v>175</v>
      </c>
      <c r="F116" s="412" t="s">
        <v>175</v>
      </c>
      <c r="G116" s="413"/>
      <c r="H116" s="433"/>
      <c r="I116" s="387" t="str">
        <f>IF(EXACT(F116, G116), "none", IF(ISNUMBER(MATCH(G116, 'MP Analysis Input'!$A$15:$A$21, 0)), "soft", "hard"))</f>
        <v>hard</v>
      </c>
    </row>
    <row r="117" spans="1:9" ht="15" customHeight="1" x14ac:dyDescent="0.25">
      <c r="A117" s="408" t="s">
        <v>272</v>
      </c>
      <c r="B117" s="409">
        <v>86.4</v>
      </c>
      <c r="C117" s="410">
        <f t="shared" si="5"/>
        <v>0.13500000000000001</v>
      </c>
      <c r="D117" s="411" t="s">
        <v>171</v>
      </c>
      <c r="E117" s="411" t="s">
        <v>171</v>
      </c>
      <c r="F117" s="412" t="s">
        <v>171</v>
      </c>
      <c r="G117" s="413"/>
      <c r="H117" s="433"/>
      <c r="I117" s="387" t="str">
        <f>IF(EXACT(F117, G117), "none", IF(ISNUMBER(MATCH(G117, 'MP Analysis Input'!$A$15:$A$21, 0)), "soft", "hard"))</f>
        <v>hard</v>
      </c>
    </row>
    <row r="118" spans="1:9" ht="15" customHeight="1" x14ac:dyDescent="0.25">
      <c r="A118" s="408" t="s">
        <v>273</v>
      </c>
      <c r="B118" s="409">
        <v>19.899999999999999</v>
      </c>
      <c r="C118" s="410">
        <f t="shared" ref="C118:C149" si="6">B118*0.0015625</f>
        <v>3.109375E-2</v>
      </c>
      <c r="D118" s="411" t="s">
        <v>185</v>
      </c>
      <c r="E118" s="411" t="s">
        <v>185</v>
      </c>
      <c r="F118" s="412" t="s">
        <v>185</v>
      </c>
      <c r="G118" s="413"/>
      <c r="H118" s="433"/>
      <c r="I118" s="387" t="str">
        <f>IF(EXACT(F118, G118), "none", IF(ISNUMBER(MATCH(G118, 'MP Analysis Input'!$A$15:$A$21, 0)), "soft", "hard"))</f>
        <v>hard</v>
      </c>
    </row>
    <row r="119" spans="1:9" ht="15" customHeight="1" x14ac:dyDescent="0.25">
      <c r="A119" s="408" t="s">
        <v>274</v>
      </c>
      <c r="B119" s="409">
        <v>19.8</v>
      </c>
      <c r="C119" s="410">
        <f t="shared" si="6"/>
        <v>3.0937500000000003E-2</v>
      </c>
      <c r="D119" s="411" t="s">
        <v>171</v>
      </c>
      <c r="E119" s="411" t="s">
        <v>171</v>
      </c>
      <c r="F119" s="412" t="s">
        <v>171</v>
      </c>
      <c r="G119" s="413"/>
      <c r="H119" s="433"/>
      <c r="I119" s="387" t="str">
        <f>IF(EXACT(F119, G119), "none", IF(ISNUMBER(MATCH(G119, 'MP Analysis Input'!$A$15:$A$21, 0)), "soft", "hard"))</f>
        <v>hard</v>
      </c>
    </row>
    <row r="120" spans="1:9" ht="15" customHeight="1" x14ac:dyDescent="0.25">
      <c r="A120" s="408" t="s">
        <v>275</v>
      </c>
      <c r="B120" s="409">
        <v>139.19999999999999</v>
      </c>
      <c r="C120" s="410">
        <f t="shared" si="6"/>
        <v>0.2175</v>
      </c>
      <c r="D120" s="411" t="s">
        <v>171</v>
      </c>
      <c r="E120" s="411" t="s">
        <v>171</v>
      </c>
      <c r="F120" s="412" t="s">
        <v>137</v>
      </c>
      <c r="G120" s="413"/>
      <c r="H120" s="433"/>
      <c r="I120" s="387" t="str">
        <f>IF(EXACT(F120, G120), "none", IF(ISNUMBER(MATCH(G120, 'MP Analysis Input'!$A$15:$A$21, 0)), "soft", "hard"))</f>
        <v>hard</v>
      </c>
    </row>
    <row r="121" spans="1:9" ht="15" customHeight="1" x14ac:dyDescent="0.25">
      <c r="A121" s="408" t="s">
        <v>276</v>
      </c>
      <c r="B121" s="409">
        <v>80.599999999999994</v>
      </c>
      <c r="C121" s="410">
        <f t="shared" si="6"/>
        <v>0.12593750000000001</v>
      </c>
      <c r="D121" s="411" t="s">
        <v>175</v>
      </c>
      <c r="E121" s="411" t="s">
        <v>175</v>
      </c>
      <c r="F121" s="412" t="s">
        <v>137</v>
      </c>
      <c r="G121" s="413"/>
      <c r="H121" s="433"/>
      <c r="I121" s="387" t="str">
        <f>IF(EXACT(F121, G121), "none", IF(ISNUMBER(MATCH(G121, 'MP Analysis Input'!$A$15:$A$21, 0)), "soft", "hard"))</f>
        <v>hard</v>
      </c>
    </row>
    <row r="122" spans="1:9" ht="15" customHeight="1" x14ac:dyDescent="0.25">
      <c r="A122" s="408" t="s">
        <v>277</v>
      </c>
      <c r="B122" s="409">
        <v>40</v>
      </c>
      <c r="C122" s="410">
        <f t="shared" si="6"/>
        <v>6.25E-2</v>
      </c>
      <c r="D122" s="411" t="s">
        <v>185</v>
      </c>
      <c r="E122" s="411" t="s">
        <v>185</v>
      </c>
      <c r="F122" s="412" t="s">
        <v>185</v>
      </c>
      <c r="G122" s="413"/>
      <c r="H122" s="433"/>
      <c r="I122" s="387" t="str">
        <f>IF(EXACT(F122, G122), "none", IF(ISNUMBER(MATCH(G122, 'MP Analysis Input'!$A$15:$A$21, 0)), "soft", "hard"))</f>
        <v>hard</v>
      </c>
    </row>
    <row r="123" spans="1:9" ht="15" customHeight="1" x14ac:dyDescent="0.25">
      <c r="A123" s="408" t="s">
        <v>278</v>
      </c>
      <c r="B123" s="409">
        <v>19.7</v>
      </c>
      <c r="C123" s="410">
        <f t="shared" si="6"/>
        <v>3.078125E-2</v>
      </c>
      <c r="D123" s="411" t="s">
        <v>185</v>
      </c>
      <c r="E123" s="411" t="s">
        <v>185</v>
      </c>
      <c r="F123" s="412" t="s">
        <v>185</v>
      </c>
      <c r="G123" s="413"/>
      <c r="H123" s="433"/>
      <c r="I123" s="387" t="str">
        <f>IF(EXACT(F123, G123), "none", IF(ISNUMBER(MATCH(G123, 'MP Analysis Input'!$A$15:$A$21, 0)), "soft", "hard"))</f>
        <v>hard</v>
      </c>
    </row>
    <row r="124" spans="1:9" ht="15" customHeight="1" x14ac:dyDescent="0.25">
      <c r="A124" s="408" t="s">
        <v>279</v>
      </c>
      <c r="B124" s="409">
        <v>43.4</v>
      </c>
      <c r="C124" s="410">
        <f t="shared" si="6"/>
        <v>6.7812499999999998E-2</v>
      </c>
      <c r="D124" s="411" t="s">
        <v>175</v>
      </c>
      <c r="E124" s="411" t="s">
        <v>175</v>
      </c>
      <c r="F124" s="412" t="s">
        <v>171</v>
      </c>
      <c r="G124" s="413"/>
      <c r="H124" s="433"/>
      <c r="I124" s="387" t="str">
        <f>IF(EXACT(F124, G124), "none", IF(ISNUMBER(MATCH(G124, 'MP Analysis Input'!$A$15:$A$21, 0)), "soft", "hard"))</f>
        <v>hard</v>
      </c>
    </row>
    <row r="125" spans="1:9" ht="15" customHeight="1" x14ac:dyDescent="0.25">
      <c r="A125" s="408" t="s">
        <v>280</v>
      </c>
      <c r="B125" s="409">
        <v>40</v>
      </c>
      <c r="C125" s="410">
        <f t="shared" si="6"/>
        <v>6.25E-2</v>
      </c>
      <c r="D125" s="411" t="s">
        <v>185</v>
      </c>
      <c r="E125" s="411" t="s">
        <v>185</v>
      </c>
      <c r="F125" s="412" t="s">
        <v>185</v>
      </c>
      <c r="G125" s="413"/>
      <c r="H125" s="433"/>
      <c r="I125" s="387" t="str">
        <f>IF(EXACT(F125, G125), "none", IF(ISNUMBER(MATCH(G125, 'MP Analysis Input'!$A$15:$A$21, 0)), "soft", "hard"))</f>
        <v>hard</v>
      </c>
    </row>
    <row r="126" spans="1:9" ht="15" customHeight="1" x14ac:dyDescent="0.25">
      <c r="A126" s="408" t="s">
        <v>281</v>
      </c>
      <c r="B126" s="409">
        <v>40</v>
      </c>
      <c r="C126" s="410">
        <f t="shared" si="6"/>
        <v>6.25E-2</v>
      </c>
      <c r="D126" s="411" t="s">
        <v>185</v>
      </c>
      <c r="E126" s="411" t="s">
        <v>185</v>
      </c>
      <c r="F126" s="412" t="s">
        <v>185</v>
      </c>
      <c r="G126" s="413"/>
      <c r="H126" s="433"/>
      <c r="I126" s="387" t="str">
        <f>IF(EXACT(F126, G126), "none", IF(ISNUMBER(MATCH(G126, 'MP Analysis Input'!$A$15:$A$21, 0)), "soft", "hard"))</f>
        <v>hard</v>
      </c>
    </row>
    <row r="127" spans="1:9" ht="15" customHeight="1" x14ac:dyDescent="0.25">
      <c r="A127" s="408" t="s">
        <v>282</v>
      </c>
      <c r="B127" s="409">
        <v>40</v>
      </c>
      <c r="C127" s="410">
        <f t="shared" si="6"/>
        <v>6.25E-2</v>
      </c>
      <c r="D127" s="411" t="s">
        <v>185</v>
      </c>
      <c r="E127" s="411" t="s">
        <v>185</v>
      </c>
      <c r="F127" s="412" t="s">
        <v>185</v>
      </c>
      <c r="G127" s="413"/>
      <c r="H127" s="433"/>
      <c r="I127" s="387" t="str">
        <f>IF(EXACT(F127, G127), "none", IF(ISNUMBER(MATCH(G127, 'MP Analysis Input'!$A$15:$A$21, 0)), "soft", "hard"))</f>
        <v>hard</v>
      </c>
    </row>
    <row r="128" spans="1:9" ht="15" customHeight="1" x14ac:dyDescent="0.25">
      <c r="A128" s="408" t="s">
        <v>283</v>
      </c>
      <c r="B128" s="409">
        <v>40</v>
      </c>
      <c r="C128" s="410">
        <f t="shared" si="6"/>
        <v>6.25E-2</v>
      </c>
      <c r="D128" s="411" t="s">
        <v>185</v>
      </c>
      <c r="E128" s="411" t="s">
        <v>185</v>
      </c>
      <c r="F128" s="412" t="s">
        <v>185</v>
      </c>
      <c r="G128" s="413"/>
      <c r="H128" s="433"/>
      <c r="I128" s="387" t="str">
        <f>IF(EXACT(F128, G128), "none", IF(ISNUMBER(MATCH(G128, 'MP Analysis Input'!$A$15:$A$21, 0)), "soft", "hard"))</f>
        <v>hard</v>
      </c>
    </row>
    <row r="129" spans="1:9" ht="15" customHeight="1" x14ac:dyDescent="0.25">
      <c r="A129" s="408" t="s">
        <v>284</v>
      </c>
      <c r="B129" s="409">
        <v>40</v>
      </c>
      <c r="C129" s="410">
        <f t="shared" si="6"/>
        <v>6.25E-2</v>
      </c>
      <c r="D129" s="411" t="s">
        <v>185</v>
      </c>
      <c r="E129" s="411" t="s">
        <v>185</v>
      </c>
      <c r="F129" s="412" t="s">
        <v>185</v>
      </c>
      <c r="G129" s="413"/>
      <c r="H129" s="433"/>
      <c r="I129" s="387" t="str">
        <f>IF(EXACT(F129, G129), "none", IF(ISNUMBER(MATCH(G129, 'MP Analysis Input'!$A$15:$A$21, 0)), "soft", "hard"))</f>
        <v>hard</v>
      </c>
    </row>
    <row r="130" spans="1:9" ht="15" customHeight="1" x14ac:dyDescent="0.25">
      <c r="A130" s="408" t="s">
        <v>285</v>
      </c>
      <c r="B130" s="409">
        <v>40</v>
      </c>
      <c r="C130" s="410">
        <f t="shared" si="6"/>
        <v>6.25E-2</v>
      </c>
      <c r="D130" s="411" t="s">
        <v>185</v>
      </c>
      <c r="E130" s="411" t="s">
        <v>185</v>
      </c>
      <c r="F130" s="412" t="s">
        <v>185</v>
      </c>
      <c r="G130" s="413"/>
      <c r="H130" s="433"/>
      <c r="I130" s="387" t="str">
        <f>IF(EXACT(F130, G130), "none", IF(ISNUMBER(MATCH(G130, 'MP Analysis Input'!$A$15:$A$21, 0)), "soft", "hard"))</f>
        <v>hard</v>
      </c>
    </row>
    <row r="131" spans="1:9" ht="15" customHeight="1" x14ac:dyDescent="0.25">
      <c r="A131" s="408" t="s">
        <v>286</v>
      </c>
      <c r="B131" s="409">
        <v>40</v>
      </c>
      <c r="C131" s="410">
        <f t="shared" si="6"/>
        <v>6.25E-2</v>
      </c>
      <c r="D131" s="411" t="s">
        <v>185</v>
      </c>
      <c r="E131" s="411" t="s">
        <v>185</v>
      </c>
      <c r="F131" s="412" t="s">
        <v>185</v>
      </c>
      <c r="G131" s="413"/>
      <c r="H131" s="433"/>
      <c r="I131" s="387" t="str">
        <f>IF(EXACT(F131, G131), "none", IF(ISNUMBER(MATCH(G131, 'MP Analysis Input'!$A$15:$A$21, 0)), "soft", "hard"))</f>
        <v>hard</v>
      </c>
    </row>
    <row r="132" spans="1:9" ht="15" customHeight="1" x14ac:dyDescent="0.25">
      <c r="A132" s="408" t="s">
        <v>287</v>
      </c>
      <c r="B132" s="409">
        <v>40</v>
      </c>
      <c r="C132" s="410">
        <f t="shared" si="6"/>
        <v>6.25E-2</v>
      </c>
      <c r="D132" s="411" t="s">
        <v>185</v>
      </c>
      <c r="E132" s="411" t="s">
        <v>185</v>
      </c>
      <c r="F132" s="412" t="s">
        <v>185</v>
      </c>
      <c r="G132" s="413"/>
      <c r="H132" s="433"/>
      <c r="I132" s="387" t="str">
        <f>IF(EXACT(F132, G132), "none", IF(ISNUMBER(MATCH(G132, 'MP Analysis Input'!$A$15:$A$21, 0)), "soft", "hard"))</f>
        <v>hard</v>
      </c>
    </row>
    <row r="133" spans="1:9" ht="15" customHeight="1" x14ac:dyDescent="0.25">
      <c r="A133" s="408" t="s">
        <v>288</v>
      </c>
      <c r="B133" s="409">
        <v>40</v>
      </c>
      <c r="C133" s="410">
        <f t="shared" si="6"/>
        <v>6.25E-2</v>
      </c>
      <c r="D133" s="411" t="s">
        <v>185</v>
      </c>
      <c r="E133" s="411" t="s">
        <v>185</v>
      </c>
      <c r="F133" s="412" t="s">
        <v>185</v>
      </c>
      <c r="G133" s="413"/>
      <c r="H133" s="433"/>
      <c r="I133" s="387" t="str">
        <f>IF(EXACT(F133, G133), "none", IF(ISNUMBER(MATCH(G133, 'MP Analysis Input'!$A$15:$A$21, 0)), "soft", "hard"))</f>
        <v>hard</v>
      </c>
    </row>
    <row r="134" spans="1:9" ht="15" customHeight="1" x14ac:dyDescent="0.25">
      <c r="A134" s="408" t="s">
        <v>289</v>
      </c>
      <c r="B134" s="409">
        <v>40</v>
      </c>
      <c r="C134" s="410">
        <f t="shared" si="6"/>
        <v>6.25E-2</v>
      </c>
      <c r="D134" s="411" t="s">
        <v>185</v>
      </c>
      <c r="E134" s="411" t="s">
        <v>185</v>
      </c>
      <c r="F134" s="412" t="s">
        <v>185</v>
      </c>
      <c r="G134" s="413"/>
      <c r="H134" s="433"/>
      <c r="I134" s="387" t="str">
        <f>IF(EXACT(F134, G134), "none", IF(ISNUMBER(MATCH(G134, 'MP Analysis Input'!$A$15:$A$21, 0)), "soft", "hard"))</f>
        <v>hard</v>
      </c>
    </row>
    <row r="135" spans="1:9" ht="15" customHeight="1" x14ac:dyDescent="0.25">
      <c r="A135" s="408" t="s">
        <v>290</v>
      </c>
      <c r="B135" s="409">
        <v>40</v>
      </c>
      <c r="C135" s="410">
        <f t="shared" si="6"/>
        <v>6.25E-2</v>
      </c>
      <c r="D135" s="411" t="s">
        <v>185</v>
      </c>
      <c r="E135" s="411" t="s">
        <v>185</v>
      </c>
      <c r="F135" s="412" t="s">
        <v>185</v>
      </c>
      <c r="G135" s="413"/>
      <c r="H135" s="433"/>
      <c r="I135" s="387" t="str">
        <f>IF(EXACT(F135, G135), "none", IF(ISNUMBER(MATCH(G135, 'MP Analysis Input'!$A$15:$A$21, 0)), "soft", "hard"))</f>
        <v>hard</v>
      </c>
    </row>
    <row r="136" spans="1:9" ht="15" customHeight="1" x14ac:dyDescent="0.25">
      <c r="A136" s="408" t="s">
        <v>291</v>
      </c>
      <c r="B136" s="409">
        <v>40</v>
      </c>
      <c r="C136" s="410">
        <f t="shared" si="6"/>
        <v>6.25E-2</v>
      </c>
      <c r="D136" s="411" t="s">
        <v>185</v>
      </c>
      <c r="E136" s="411" t="s">
        <v>185</v>
      </c>
      <c r="F136" s="412" t="s">
        <v>185</v>
      </c>
      <c r="G136" s="413"/>
      <c r="H136" s="433"/>
      <c r="I136" s="387" t="str">
        <f>IF(EXACT(F136, G136), "none", IF(ISNUMBER(MATCH(G136, 'MP Analysis Input'!$A$15:$A$21, 0)), "soft", "hard"))</f>
        <v>hard</v>
      </c>
    </row>
    <row r="137" spans="1:9" ht="15" customHeight="1" x14ac:dyDescent="0.25">
      <c r="A137" s="408" t="s">
        <v>292</v>
      </c>
      <c r="B137" s="409">
        <v>40</v>
      </c>
      <c r="C137" s="410">
        <f t="shared" si="6"/>
        <v>6.25E-2</v>
      </c>
      <c r="D137" s="411" t="s">
        <v>185</v>
      </c>
      <c r="E137" s="411" t="s">
        <v>185</v>
      </c>
      <c r="F137" s="412" t="s">
        <v>185</v>
      </c>
      <c r="G137" s="413"/>
      <c r="H137" s="433"/>
      <c r="I137" s="387" t="str">
        <f>IF(EXACT(F137, G137), "none", IF(ISNUMBER(MATCH(G137, 'MP Analysis Input'!$A$15:$A$21, 0)), "soft", "hard"))</f>
        <v>hard</v>
      </c>
    </row>
    <row r="138" spans="1:9" ht="15" customHeight="1" x14ac:dyDescent="0.25">
      <c r="A138" s="408" t="s">
        <v>293</v>
      </c>
      <c r="B138" s="409">
        <v>40</v>
      </c>
      <c r="C138" s="410">
        <f t="shared" si="6"/>
        <v>6.25E-2</v>
      </c>
      <c r="D138" s="411" t="s">
        <v>185</v>
      </c>
      <c r="E138" s="411" t="s">
        <v>185</v>
      </c>
      <c r="F138" s="412" t="s">
        <v>185</v>
      </c>
      <c r="G138" s="413"/>
      <c r="H138" s="433"/>
      <c r="I138" s="387" t="str">
        <f>IF(EXACT(F138, G138), "none", IF(ISNUMBER(MATCH(G138, 'MP Analysis Input'!$A$15:$A$21, 0)), "soft", "hard"))</f>
        <v>hard</v>
      </c>
    </row>
    <row r="139" spans="1:9" ht="15" customHeight="1" x14ac:dyDescent="0.25">
      <c r="A139" s="408" t="s">
        <v>294</v>
      </c>
      <c r="B139" s="409">
        <v>40</v>
      </c>
      <c r="C139" s="410">
        <f t="shared" si="6"/>
        <v>6.25E-2</v>
      </c>
      <c r="D139" s="411" t="s">
        <v>185</v>
      </c>
      <c r="E139" s="411" t="s">
        <v>185</v>
      </c>
      <c r="F139" s="412" t="s">
        <v>185</v>
      </c>
      <c r="G139" s="413"/>
      <c r="H139" s="433"/>
      <c r="I139" s="387" t="str">
        <f>IF(EXACT(F139, G139), "none", IF(ISNUMBER(MATCH(G139, 'MP Analysis Input'!$A$15:$A$21, 0)), "soft", "hard"))</f>
        <v>hard</v>
      </c>
    </row>
    <row r="140" spans="1:9" ht="15" customHeight="1" x14ac:dyDescent="0.25">
      <c r="A140" s="408" t="s">
        <v>295</v>
      </c>
      <c r="B140" s="409">
        <v>40</v>
      </c>
      <c r="C140" s="410">
        <f t="shared" si="6"/>
        <v>6.25E-2</v>
      </c>
      <c r="D140" s="411" t="s">
        <v>185</v>
      </c>
      <c r="E140" s="411" t="s">
        <v>185</v>
      </c>
      <c r="F140" s="412" t="s">
        <v>185</v>
      </c>
      <c r="G140" s="413"/>
      <c r="H140" s="433"/>
      <c r="I140" s="387" t="str">
        <f>IF(EXACT(F140, G140), "none", IF(ISNUMBER(MATCH(G140, 'MP Analysis Input'!$A$15:$A$21, 0)), "soft", "hard"))</f>
        <v>hard</v>
      </c>
    </row>
    <row r="141" spans="1:9" ht="15" customHeight="1" x14ac:dyDescent="0.25">
      <c r="A141" s="408" t="s">
        <v>296</v>
      </c>
      <c r="B141" s="409">
        <v>40</v>
      </c>
      <c r="C141" s="410">
        <f t="shared" si="6"/>
        <v>6.25E-2</v>
      </c>
      <c r="D141" s="411" t="s">
        <v>185</v>
      </c>
      <c r="E141" s="411" t="s">
        <v>185</v>
      </c>
      <c r="F141" s="412" t="s">
        <v>185</v>
      </c>
      <c r="G141" s="413"/>
      <c r="H141" s="433"/>
      <c r="I141" s="387" t="str">
        <f>IF(EXACT(F141, G141), "none", IF(ISNUMBER(MATCH(G141, 'MP Analysis Input'!$A$15:$A$21, 0)), "soft", "hard"))</f>
        <v>hard</v>
      </c>
    </row>
    <row r="142" spans="1:9" ht="15" customHeight="1" x14ac:dyDescent="0.25">
      <c r="A142" s="408" t="s">
        <v>297</v>
      </c>
      <c r="B142" s="409">
        <v>40</v>
      </c>
      <c r="C142" s="410">
        <f t="shared" si="6"/>
        <v>6.25E-2</v>
      </c>
      <c r="D142" s="411" t="s">
        <v>185</v>
      </c>
      <c r="E142" s="411" t="s">
        <v>185</v>
      </c>
      <c r="F142" s="412" t="s">
        <v>185</v>
      </c>
      <c r="G142" s="413"/>
      <c r="H142" s="433"/>
      <c r="I142" s="387" t="str">
        <f>IF(EXACT(F142, G142), "none", IF(ISNUMBER(MATCH(G142, 'MP Analysis Input'!$A$15:$A$21, 0)), "soft", "hard"))</f>
        <v>hard</v>
      </c>
    </row>
    <row r="143" spans="1:9" ht="15" customHeight="1" x14ac:dyDescent="0.25">
      <c r="A143" s="408" t="s">
        <v>298</v>
      </c>
      <c r="B143" s="409">
        <v>40</v>
      </c>
      <c r="C143" s="410">
        <f t="shared" si="6"/>
        <v>6.25E-2</v>
      </c>
      <c r="D143" s="411" t="s">
        <v>185</v>
      </c>
      <c r="E143" s="411" t="s">
        <v>185</v>
      </c>
      <c r="F143" s="412" t="s">
        <v>185</v>
      </c>
      <c r="G143" s="413"/>
      <c r="H143" s="433"/>
      <c r="I143" s="387" t="str">
        <f>IF(EXACT(F143, G143), "none", IF(ISNUMBER(MATCH(G143, 'MP Analysis Input'!$A$15:$A$21, 0)), "soft", "hard"))</f>
        <v>hard</v>
      </c>
    </row>
    <row r="144" spans="1:9" ht="15" customHeight="1" x14ac:dyDescent="0.25">
      <c r="A144" s="408" t="s">
        <v>299</v>
      </c>
      <c r="B144" s="409">
        <v>40</v>
      </c>
      <c r="C144" s="410">
        <f t="shared" si="6"/>
        <v>6.25E-2</v>
      </c>
      <c r="D144" s="411" t="s">
        <v>185</v>
      </c>
      <c r="E144" s="411" t="s">
        <v>185</v>
      </c>
      <c r="F144" s="412" t="s">
        <v>185</v>
      </c>
      <c r="G144" s="413"/>
      <c r="H144" s="433"/>
      <c r="I144" s="387" t="str">
        <f>IF(EXACT(F144, G144), "none", IF(ISNUMBER(MATCH(G144, 'MP Analysis Input'!$A$15:$A$21, 0)), "soft", "hard"))</f>
        <v>hard</v>
      </c>
    </row>
    <row r="145" spans="1:9" ht="15" customHeight="1" x14ac:dyDescent="0.25">
      <c r="A145" s="408" t="s">
        <v>300</v>
      </c>
      <c r="B145" s="409">
        <v>40</v>
      </c>
      <c r="C145" s="410">
        <f t="shared" si="6"/>
        <v>6.25E-2</v>
      </c>
      <c r="D145" s="411" t="s">
        <v>185</v>
      </c>
      <c r="E145" s="411" t="s">
        <v>185</v>
      </c>
      <c r="F145" s="412" t="s">
        <v>185</v>
      </c>
      <c r="G145" s="413"/>
      <c r="H145" s="433"/>
      <c r="I145" s="387" t="str">
        <f>IF(EXACT(F145, G145), "none", IF(ISNUMBER(MATCH(G145, 'MP Analysis Input'!$A$15:$A$21, 0)), "soft", "hard"))</f>
        <v>hard</v>
      </c>
    </row>
    <row r="146" spans="1:9" ht="15" customHeight="1" x14ac:dyDescent="0.25">
      <c r="A146" s="408" t="s">
        <v>301</v>
      </c>
      <c r="B146" s="409">
        <v>40</v>
      </c>
      <c r="C146" s="410">
        <f t="shared" si="6"/>
        <v>6.25E-2</v>
      </c>
      <c r="D146" s="411" t="s">
        <v>185</v>
      </c>
      <c r="E146" s="411" t="s">
        <v>185</v>
      </c>
      <c r="F146" s="412" t="s">
        <v>185</v>
      </c>
      <c r="G146" s="413"/>
      <c r="H146" s="433"/>
      <c r="I146" s="387" t="str">
        <f>IF(EXACT(F146, G146), "none", IF(ISNUMBER(MATCH(G146, 'MP Analysis Input'!$A$15:$A$21, 0)), "soft", "hard"))</f>
        <v>hard</v>
      </c>
    </row>
    <row r="147" spans="1:9" ht="15" customHeight="1" x14ac:dyDescent="0.25">
      <c r="A147" s="408" t="s">
        <v>302</v>
      </c>
      <c r="B147" s="409">
        <v>40</v>
      </c>
      <c r="C147" s="410">
        <f t="shared" si="6"/>
        <v>6.25E-2</v>
      </c>
      <c r="D147" s="411" t="s">
        <v>185</v>
      </c>
      <c r="E147" s="411" t="s">
        <v>185</v>
      </c>
      <c r="F147" s="412" t="s">
        <v>185</v>
      </c>
      <c r="G147" s="413"/>
      <c r="H147" s="433"/>
      <c r="I147" s="387" t="str">
        <f>IF(EXACT(F147, G147), "none", IF(ISNUMBER(MATCH(G147, 'MP Analysis Input'!$A$15:$A$21, 0)), "soft", "hard"))</f>
        <v>hard</v>
      </c>
    </row>
    <row r="148" spans="1:9" ht="15" customHeight="1" x14ac:dyDescent="0.25">
      <c r="A148" s="408" t="s">
        <v>303</v>
      </c>
      <c r="B148" s="409">
        <v>40</v>
      </c>
      <c r="C148" s="410">
        <f t="shared" si="6"/>
        <v>6.25E-2</v>
      </c>
      <c r="D148" s="411" t="s">
        <v>185</v>
      </c>
      <c r="E148" s="411" t="s">
        <v>185</v>
      </c>
      <c r="F148" s="412" t="s">
        <v>185</v>
      </c>
      <c r="G148" s="413"/>
      <c r="H148" s="433"/>
      <c r="I148" s="387" t="str">
        <f>IF(EXACT(F148, G148), "none", IF(ISNUMBER(MATCH(G148, 'MP Analysis Input'!$A$15:$A$21, 0)), "soft", "hard"))</f>
        <v>hard</v>
      </c>
    </row>
    <row r="149" spans="1:9" ht="15" customHeight="1" x14ac:dyDescent="0.25">
      <c r="A149" s="408" t="s">
        <v>304</v>
      </c>
      <c r="B149" s="409">
        <v>40</v>
      </c>
      <c r="C149" s="410">
        <f t="shared" si="6"/>
        <v>6.25E-2</v>
      </c>
      <c r="D149" s="411" t="s">
        <v>185</v>
      </c>
      <c r="E149" s="411" t="s">
        <v>185</v>
      </c>
      <c r="F149" s="412" t="s">
        <v>185</v>
      </c>
      <c r="G149" s="413"/>
      <c r="H149" s="433"/>
      <c r="I149" s="387" t="str">
        <f>IF(EXACT(F149, G149), "none", IF(ISNUMBER(MATCH(G149, 'MP Analysis Input'!$A$15:$A$21, 0)), "soft", "hard"))</f>
        <v>hard</v>
      </c>
    </row>
    <row r="150" spans="1:9" ht="15" customHeight="1" x14ac:dyDescent="0.25">
      <c r="A150" s="408" t="s">
        <v>305</v>
      </c>
      <c r="B150" s="409">
        <v>40</v>
      </c>
      <c r="C150" s="410">
        <f t="shared" ref="C150:C181" si="7">B150*0.0015625</f>
        <v>6.25E-2</v>
      </c>
      <c r="D150" s="411" t="s">
        <v>185</v>
      </c>
      <c r="E150" s="411" t="s">
        <v>185</v>
      </c>
      <c r="F150" s="412" t="s">
        <v>185</v>
      </c>
      <c r="G150" s="413"/>
      <c r="H150" s="433"/>
      <c r="I150" s="387" t="str">
        <f>IF(EXACT(F150, G150), "none", IF(ISNUMBER(MATCH(G150, 'MP Analysis Input'!$A$15:$A$21, 0)), "soft", "hard"))</f>
        <v>hard</v>
      </c>
    </row>
    <row r="151" spans="1:9" ht="15" customHeight="1" x14ac:dyDescent="0.25">
      <c r="A151" s="408" t="s">
        <v>306</v>
      </c>
      <c r="B151" s="409">
        <v>40</v>
      </c>
      <c r="C151" s="410">
        <f t="shared" si="7"/>
        <v>6.25E-2</v>
      </c>
      <c r="D151" s="411" t="s">
        <v>185</v>
      </c>
      <c r="E151" s="411" t="s">
        <v>185</v>
      </c>
      <c r="F151" s="412" t="s">
        <v>185</v>
      </c>
      <c r="G151" s="413"/>
      <c r="H151" s="433"/>
      <c r="I151" s="387" t="str">
        <f>IF(EXACT(F151, G151), "none", IF(ISNUMBER(MATCH(G151, 'MP Analysis Input'!$A$15:$A$21, 0)), "soft", "hard"))</f>
        <v>hard</v>
      </c>
    </row>
    <row r="152" spans="1:9" ht="15" customHeight="1" x14ac:dyDescent="0.25">
      <c r="A152" s="408" t="s">
        <v>307</v>
      </c>
      <c r="B152" s="409">
        <v>40</v>
      </c>
      <c r="C152" s="410">
        <f t="shared" si="7"/>
        <v>6.25E-2</v>
      </c>
      <c r="D152" s="411" t="s">
        <v>185</v>
      </c>
      <c r="E152" s="411" t="s">
        <v>185</v>
      </c>
      <c r="F152" s="412" t="s">
        <v>185</v>
      </c>
      <c r="G152" s="413"/>
      <c r="H152" s="433"/>
      <c r="I152" s="387" t="str">
        <f>IF(EXACT(F152, G152), "none", IF(ISNUMBER(MATCH(G152, 'MP Analysis Input'!$A$15:$A$21, 0)), "soft", "hard"))</f>
        <v>hard</v>
      </c>
    </row>
    <row r="153" spans="1:9" ht="15" customHeight="1" x14ac:dyDescent="0.25">
      <c r="A153" s="408" t="s">
        <v>308</v>
      </c>
      <c r="B153" s="409">
        <v>40</v>
      </c>
      <c r="C153" s="410">
        <f t="shared" si="7"/>
        <v>6.25E-2</v>
      </c>
      <c r="D153" s="411" t="s">
        <v>185</v>
      </c>
      <c r="E153" s="411" t="s">
        <v>185</v>
      </c>
      <c r="F153" s="412" t="s">
        <v>185</v>
      </c>
      <c r="G153" s="413"/>
      <c r="H153" s="433"/>
      <c r="I153" s="387" t="str">
        <f>IF(EXACT(F153, G153), "none", IF(ISNUMBER(MATCH(G153, 'MP Analysis Input'!$A$15:$A$21, 0)), "soft", "hard"))</f>
        <v>hard</v>
      </c>
    </row>
    <row r="154" spans="1:9" ht="15" customHeight="1" x14ac:dyDescent="0.25">
      <c r="A154" s="408" t="s">
        <v>309</v>
      </c>
      <c r="B154" s="409">
        <v>40</v>
      </c>
      <c r="C154" s="410">
        <f t="shared" si="7"/>
        <v>6.25E-2</v>
      </c>
      <c r="D154" s="411" t="s">
        <v>185</v>
      </c>
      <c r="E154" s="411" t="s">
        <v>185</v>
      </c>
      <c r="F154" s="412" t="s">
        <v>185</v>
      </c>
      <c r="G154" s="413"/>
      <c r="H154" s="433"/>
      <c r="I154" s="387" t="str">
        <f>IF(EXACT(F154, G154), "none", IF(ISNUMBER(MATCH(G154, 'MP Analysis Input'!$A$15:$A$21, 0)), "soft", "hard"))</f>
        <v>hard</v>
      </c>
    </row>
    <row r="155" spans="1:9" ht="15" customHeight="1" x14ac:dyDescent="0.25">
      <c r="A155" s="408" t="s">
        <v>310</v>
      </c>
      <c r="B155" s="409">
        <v>40</v>
      </c>
      <c r="C155" s="410">
        <f t="shared" si="7"/>
        <v>6.25E-2</v>
      </c>
      <c r="D155" s="411" t="s">
        <v>185</v>
      </c>
      <c r="E155" s="411" t="s">
        <v>185</v>
      </c>
      <c r="F155" s="412" t="s">
        <v>185</v>
      </c>
      <c r="G155" s="413"/>
      <c r="H155" s="433"/>
      <c r="I155" s="387" t="str">
        <f>IF(EXACT(F155, G155), "none", IF(ISNUMBER(MATCH(G155, 'MP Analysis Input'!$A$15:$A$21, 0)), "soft", "hard"))</f>
        <v>hard</v>
      </c>
    </row>
    <row r="156" spans="1:9" ht="15" customHeight="1" x14ac:dyDescent="0.25">
      <c r="A156" s="408" t="s">
        <v>311</v>
      </c>
      <c r="B156" s="409">
        <v>40</v>
      </c>
      <c r="C156" s="410">
        <f t="shared" si="7"/>
        <v>6.25E-2</v>
      </c>
      <c r="D156" s="411" t="s">
        <v>185</v>
      </c>
      <c r="E156" s="411" t="s">
        <v>185</v>
      </c>
      <c r="F156" s="412" t="s">
        <v>185</v>
      </c>
      <c r="G156" s="413"/>
      <c r="H156" s="433"/>
      <c r="I156" s="387" t="str">
        <f>IF(EXACT(F156, G156), "none", IF(ISNUMBER(MATCH(G156, 'MP Analysis Input'!$A$15:$A$21, 0)), "soft", "hard"))</f>
        <v>hard</v>
      </c>
    </row>
    <row r="157" spans="1:9" ht="15" customHeight="1" x14ac:dyDescent="0.25">
      <c r="A157" s="408" t="s">
        <v>312</v>
      </c>
      <c r="B157" s="409">
        <v>40</v>
      </c>
      <c r="C157" s="410">
        <f t="shared" si="7"/>
        <v>6.25E-2</v>
      </c>
      <c r="D157" s="411" t="s">
        <v>185</v>
      </c>
      <c r="E157" s="411" t="s">
        <v>185</v>
      </c>
      <c r="F157" s="412" t="s">
        <v>185</v>
      </c>
      <c r="G157" s="413"/>
      <c r="H157" s="433"/>
      <c r="I157" s="387" t="str">
        <f>IF(EXACT(F157, G157), "none", IF(ISNUMBER(MATCH(G157, 'MP Analysis Input'!$A$15:$A$21, 0)), "soft", "hard"))</f>
        <v>hard</v>
      </c>
    </row>
    <row r="158" spans="1:9" ht="15" customHeight="1" x14ac:dyDescent="0.25">
      <c r="A158" s="408" t="s">
        <v>313</v>
      </c>
      <c r="B158" s="409">
        <v>40</v>
      </c>
      <c r="C158" s="410">
        <f t="shared" si="7"/>
        <v>6.25E-2</v>
      </c>
      <c r="D158" s="411" t="s">
        <v>185</v>
      </c>
      <c r="E158" s="411" t="s">
        <v>185</v>
      </c>
      <c r="F158" s="412" t="s">
        <v>185</v>
      </c>
      <c r="G158" s="413"/>
      <c r="H158" s="433"/>
      <c r="I158" s="387" t="str">
        <f>IF(EXACT(F158, G158), "none", IF(ISNUMBER(MATCH(G158, 'MP Analysis Input'!$A$15:$A$21, 0)), "soft", "hard"))</f>
        <v>hard</v>
      </c>
    </row>
    <row r="159" spans="1:9" ht="15" customHeight="1" x14ac:dyDescent="0.25">
      <c r="A159" s="408" t="s">
        <v>314</v>
      </c>
      <c r="B159" s="409">
        <v>40</v>
      </c>
      <c r="C159" s="410">
        <f t="shared" si="7"/>
        <v>6.25E-2</v>
      </c>
      <c r="D159" s="411" t="s">
        <v>185</v>
      </c>
      <c r="E159" s="411" t="s">
        <v>185</v>
      </c>
      <c r="F159" s="412" t="s">
        <v>185</v>
      </c>
      <c r="G159" s="413"/>
      <c r="H159" s="433"/>
      <c r="I159" s="387" t="str">
        <f>IF(EXACT(F159, G159), "none", IF(ISNUMBER(MATCH(G159, 'MP Analysis Input'!$A$15:$A$21, 0)), "soft", "hard"))</f>
        <v>hard</v>
      </c>
    </row>
    <row r="160" spans="1:9" ht="15" customHeight="1" x14ac:dyDescent="0.25">
      <c r="A160" s="408" t="s">
        <v>315</v>
      </c>
      <c r="B160" s="409">
        <v>40</v>
      </c>
      <c r="C160" s="410">
        <f t="shared" si="7"/>
        <v>6.25E-2</v>
      </c>
      <c r="D160" s="411" t="s">
        <v>185</v>
      </c>
      <c r="E160" s="411" t="s">
        <v>185</v>
      </c>
      <c r="F160" s="412" t="s">
        <v>185</v>
      </c>
      <c r="G160" s="413"/>
      <c r="H160" s="433"/>
      <c r="I160" s="387" t="str">
        <f>IF(EXACT(F160, G160), "none", IF(ISNUMBER(MATCH(G160, 'MP Analysis Input'!$A$15:$A$21, 0)), "soft", "hard"))</f>
        <v>hard</v>
      </c>
    </row>
    <row r="161" spans="1:9" ht="15" customHeight="1" x14ac:dyDescent="0.25">
      <c r="A161" s="408" t="s">
        <v>316</v>
      </c>
      <c r="B161" s="409">
        <v>40</v>
      </c>
      <c r="C161" s="410">
        <f t="shared" si="7"/>
        <v>6.25E-2</v>
      </c>
      <c r="D161" s="411" t="s">
        <v>185</v>
      </c>
      <c r="E161" s="411" t="s">
        <v>185</v>
      </c>
      <c r="F161" s="412" t="s">
        <v>185</v>
      </c>
      <c r="G161" s="413"/>
      <c r="H161" s="433"/>
      <c r="I161" s="387" t="str">
        <f>IF(EXACT(F161, G161), "none", IF(ISNUMBER(MATCH(G161, 'MP Analysis Input'!$A$15:$A$21, 0)), "soft", "hard"))</f>
        <v>hard</v>
      </c>
    </row>
    <row r="162" spans="1:9" ht="15" customHeight="1" x14ac:dyDescent="0.25">
      <c r="A162" s="408" t="s">
        <v>317</v>
      </c>
      <c r="B162" s="409">
        <v>40</v>
      </c>
      <c r="C162" s="410">
        <f t="shared" si="7"/>
        <v>6.25E-2</v>
      </c>
      <c r="D162" s="411" t="s">
        <v>185</v>
      </c>
      <c r="E162" s="411" t="s">
        <v>185</v>
      </c>
      <c r="F162" s="412" t="s">
        <v>185</v>
      </c>
      <c r="G162" s="413"/>
      <c r="H162" s="433"/>
      <c r="I162" s="387" t="str">
        <f>IF(EXACT(F162, G162), "none", IF(ISNUMBER(MATCH(G162, 'MP Analysis Input'!$A$15:$A$21, 0)), "soft", "hard"))</f>
        <v>hard</v>
      </c>
    </row>
    <row r="163" spans="1:9" ht="15" customHeight="1" x14ac:dyDescent="0.25">
      <c r="A163" s="408" t="s">
        <v>318</v>
      </c>
      <c r="B163" s="409">
        <v>40</v>
      </c>
      <c r="C163" s="410">
        <f t="shared" si="7"/>
        <v>6.25E-2</v>
      </c>
      <c r="D163" s="411" t="s">
        <v>185</v>
      </c>
      <c r="E163" s="411" t="s">
        <v>185</v>
      </c>
      <c r="F163" s="412" t="s">
        <v>185</v>
      </c>
      <c r="G163" s="413"/>
      <c r="H163" s="433"/>
      <c r="I163" s="387" t="str">
        <f>IF(EXACT(F163, G163), "none", IF(ISNUMBER(MATCH(G163, 'MP Analysis Input'!$A$15:$A$21, 0)), "soft", "hard"))</f>
        <v>hard</v>
      </c>
    </row>
    <row r="164" spans="1:9" ht="15" customHeight="1" x14ac:dyDescent="0.25">
      <c r="A164" s="408" t="s">
        <v>319</v>
      </c>
      <c r="B164" s="409">
        <v>39.9</v>
      </c>
      <c r="C164" s="410">
        <f t="shared" si="7"/>
        <v>6.2343750000000003E-2</v>
      </c>
      <c r="D164" s="411" t="s">
        <v>185</v>
      </c>
      <c r="E164" s="411" t="s">
        <v>185</v>
      </c>
      <c r="F164" s="412" t="s">
        <v>185</v>
      </c>
      <c r="G164" s="413"/>
      <c r="H164" s="433"/>
      <c r="I164" s="387" t="str">
        <f>IF(EXACT(F164, G164), "none", IF(ISNUMBER(MATCH(G164, 'MP Analysis Input'!$A$15:$A$21, 0)), "soft", "hard"))</f>
        <v>hard</v>
      </c>
    </row>
    <row r="165" spans="1:9" ht="15" customHeight="1" x14ac:dyDescent="0.25">
      <c r="A165" s="408" t="s">
        <v>320</v>
      </c>
      <c r="B165" s="409">
        <v>40</v>
      </c>
      <c r="C165" s="410">
        <f t="shared" si="7"/>
        <v>6.25E-2</v>
      </c>
      <c r="D165" s="411" t="s">
        <v>185</v>
      </c>
      <c r="E165" s="411" t="s">
        <v>185</v>
      </c>
      <c r="F165" s="412" t="s">
        <v>185</v>
      </c>
      <c r="G165" s="413"/>
      <c r="H165" s="433"/>
      <c r="I165" s="387" t="str">
        <f>IF(EXACT(F165, G165), "none", IF(ISNUMBER(MATCH(G165, 'MP Analysis Input'!$A$15:$A$21, 0)), "soft", "hard"))</f>
        <v>hard</v>
      </c>
    </row>
    <row r="166" spans="1:9" ht="15" customHeight="1" x14ac:dyDescent="0.25">
      <c r="A166" s="408" t="s">
        <v>321</v>
      </c>
      <c r="B166" s="409">
        <v>40</v>
      </c>
      <c r="C166" s="410">
        <f t="shared" si="7"/>
        <v>6.25E-2</v>
      </c>
      <c r="D166" s="411" t="s">
        <v>185</v>
      </c>
      <c r="E166" s="411" t="s">
        <v>185</v>
      </c>
      <c r="F166" s="412" t="s">
        <v>185</v>
      </c>
      <c r="G166" s="413"/>
      <c r="H166" s="433"/>
      <c r="I166" s="387" t="str">
        <f>IF(EXACT(F166, G166), "none", IF(ISNUMBER(MATCH(G166, 'MP Analysis Input'!$A$15:$A$21, 0)), "soft", "hard"))</f>
        <v>hard</v>
      </c>
    </row>
    <row r="167" spans="1:9" ht="15" customHeight="1" x14ac:dyDescent="0.25">
      <c r="A167" s="408" t="s">
        <v>322</v>
      </c>
      <c r="B167" s="409">
        <v>39.700000000000003</v>
      </c>
      <c r="C167" s="410">
        <f t="shared" si="7"/>
        <v>6.203125000000001E-2</v>
      </c>
      <c r="D167" s="411" t="s">
        <v>185</v>
      </c>
      <c r="E167" s="411" t="s">
        <v>185</v>
      </c>
      <c r="F167" s="412" t="s">
        <v>185</v>
      </c>
      <c r="G167" s="413"/>
      <c r="H167" s="433"/>
      <c r="I167" s="387" t="str">
        <f>IF(EXACT(F167, G167), "none", IF(ISNUMBER(MATCH(G167, 'MP Analysis Input'!$A$15:$A$21, 0)), "soft", "hard"))</f>
        <v>hard</v>
      </c>
    </row>
    <row r="168" spans="1:9" ht="15" customHeight="1" x14ac:dyDescent="0.25">
      <c r="A168" s="408" t="s">
        <v>323</v>
      </c>
      <c r="B168" s="409">
        <v>40</v>
      </c>
      <c r="C168" s="410">
        <f t="shared" si="7"/>
        <v>6.25E-2</v>
      </c>
      <c r="D168" s="411" t="s">
        <v>185</v>
      </c>
      <c r="E168" s="411" t="s">
        <v>185</v>
      </c>
      <c r="F168" s="412" t="s">
        <v>185</v>
      </c>
      <c r="G168" s="413"/>
      <c r="H168" s="433"/>
      <c r="I168" s="387" t="str">
        <f>IF(EXACT(F168, G168), "none", IF(ISNUMBER(MATCH(G168, 'MP Analysis Input'!$A$15:$A$21, 0)), "soft", "hard"))</f>
        <v>hard</v>
      </c>
    </row>
    <row r="169" spans="1:9" ht="15" customHeight="1" x14ac:dyDescent="0.25">
      <c r="A169" s="408" t="s">
        <v>324</v>
      </c>
      <c r="B169" s="409">
        <v>40</v>
      </c>
      <c r="C169" s="410">
        <f t="shared" si="7"/>
        <v>6.25E-2</v>
      </c>
      <c r="D169" s="411" t="s">
        <v>185</v>
      </c>
      <c r="E169" s="411" t="s">
        <v>185</v>
      </c>
      <c r="F169" s="412" t="s">
        <v>185</v>
      </c>
      <c r="G169" s="413"/>
      <c r="H169" s="433"/>
      <c r="I169" s="387" t="str">
        <f>IF(EXACT(F169, G169), "none", IF(ISNUMBER(MATCH(G169, 'MP Analysis Input'!$A$15:$A$21, 0)), "soft", "hard"))</f>
        <v>hard</v>
      </c>
    </row>
    <row r="170" spans="1:9" ht="15" customHeight="1" x14ac:dyDescent="0.25">
      <c r="A170" s="408" t="s">
        <v>325</v>
      </c>
      <c r="B170" s="409">
        <v>40</v>
      </c>
      <c r="C170" s="410">
        <f t="shared" si="7"/>
        <v>6.25E-2</v>
      </c>
      <c r="D170" s="411" t="s">
        <v>185</v>
      </c>
      <c r="E170" s="411" t="s">
        <v>185</v>
      </c>
      <c r="F170" s="412" t="s">
        <v>185</v>
      </c>
      <c r="G170" s="413"/>
      <c r="H170" s="433"/>
      <c r="I170" s="387" t="str">
        <f>IF(EXACT(F170, G170), "none", IF(ISNUMBER(MATCH(G170, 'MP Analysis Input'!$A$15:$A$21, 0)), "soft", "hard"))</f>
        <v>hard</v>
      </c>
    </row>
    <row r="171" spans="1:9" ht="15" customHeight="1" x14ac:dyDescent="0.25">
      <c r="A171" s="408" t="s">
        <v>326</v>
      </c>
      <c r="B171" s="409">
        <v>40.4</v>
      </c>
      <c r="C171" s="410">
        <f t="shared" si="7"/>
        <v>6.3125000000000001E-2</v>
      </c>
      <c r="D171" s="411" t="s">
        <v>185</v>
      </c>
      <c r="E171" s="411" t="s">
        <v>185</v>
      </c>
      <c r="F171" s="412" t="s">
        <v>185</v>
      </c>
      <c r="G171" s="413"/>
      <c r="H171" s="433"/>
      <c r="I171" s="387" t="str">
        <f>IF(EXACT(F171, G171), "none", IF(ISNUMBER(MATCH(G171, 'MP Analysis Input'!$A$15:$A$21, 0)), "soft", "hard"))</f>
        <v>hard</v>
      </c>
    </row>
    <row r="172" spans="1:9" ht="15" customHeight="1" x14ac:dyDescent="0.25">
      <c r="A172" s="408" t="s">
        <v>327</v>
      </c>
      <c r="B172" s="409">
        <v>39.700000000000003</v>
      </c>
      <c r="C172" s="410">
        <f t="shared" si="7"/>
        <v>6.203125000000001E-2</v>
      </c>
      <c r="D172" s="411" t="s">
        <v>185</v>
      </c>
      <c r="E172" s="411" t="s">
        <v>185</v>
      </c>
      <c r="F172" s="412" t="s">
        <v>185</v>
      </c>
      <c r="G172" s="413"/>
      <c r="H172" s="433"/>
      <c r="I172" s="387" t="str">
        <f>IF(EXACT(F172, G172), "none", IF(ISNUMBER(MATCH(G172, 'MP Analysis Input'!$A$15:$A$21, 0)), "soft", "hard"))</f>
        <v>hard</v>
      </c>
    </row>
    <row r="173" spans="1:9" ht="15" customHeight="1" x14ac:dyDescent="0.25">
      <c r="A173" s="408" t="s">
        <v>328</v>
      </c>
      <c r="B173" s="409">
        <v>40</v>
      </c>
      <c r="C173" s="410">
        <f t="shared" si="7"/>
        <v>6.25E-2</v>
      </c>
      <c r="D173" s="411" t="s">
        <v>185</v>
      </c>
      <c r="E173" s="411" t="s">
        <v>185</v>
      </c>
      <c r="F173" s="412" t="s">
        <v>185</v>
      </c>
      <c r="G173" s="413"/>
      <c r="H173" s="433"/>
      <c r="I173" s="387" t="str">
        <f>IF(EXACT(F173, G173), "none", IF(ISNUMBER(MATCH(G173, 'MP Analysis Input'!$A$15:$A$21, 0)), "soft", "hard"))</f>
        <v>hard</v>
      </c>
    </row>
    <row r="174" spans="1:9" ht="15" customHeight="1" x14ac:dyDescent="0.25">
      <c r="A174" s="408" t="s">
        <v>329</v>
      </c>
      <c r="B174" s="409">
        <v>40</v>
      </c>
      <c r="C174" s="410">
        <f t="shared" si="7"/>
        <v>6.25E-2</v>
      </c>
      <c r="D174" s="411" t="s">
        <v>185</v>
      </c>
      <c r="E174" s="411" t="s">
        <v>185</v>
      </c>
      <c r="F174" s="412" t="s">
        <v>185</v>
      </c>
      <c r="G174" s="413"/>
      <c r="H174" s="433"/>
      <c r="I174" s="387" t="str">
        <f>IF(EXACT(F174, G174), "none", IF(ISNUMBER(MATCH(G174, 'MP Analysis Input'!$A$15:$A$21, 0)), "soft", "hard"))</f>
        <v>hard</v>
      </c>
    </row>
    <row r="175" spans="1:9" ht="15" customHeight="1" x14ac:dyDescent="0.25">
      <c r="A175" s="408" t="s">
        <v>330</v>
      </c>
      <c r="B175" s="409">
        <v>40</v>
      </c>
      <c r="C175" s="410">
        <f t="shared" si="7"/>
        <v>6.25E-2</v>
      </c>
      <c r="D175" s="411" t="s">
        <v>185</v>
      </c>
      <c r="E175" s="411" t="s">
        <v>185</v>
      </c>
      <c r="F175" s="412" t="s">
        <v>185</v>
      </c>
      <c r="G175" s="413"/>
      <c r="H175" s="433"/>
      <c r="I175" s="387" t="str">
        <f>IF(EXACT(F175, G175), "none", IF(ISNUMBER(MATCH(G175, 'MP Analysis Input'!$A$15:$A$21, 0)), "soft", "hard"))</f>
        <v>hard</v>
      </c>
    </row>
    <row r="176" spans="1:9" ht="15" customHeight="1" x14ac:dyDescent="0.25">
      <c r="A176" s="408" t="s">
        <v>331</v>
      </c>
      <c r="B176" s="409">
        <v>40</v>
      </c>
      <c r="C176" s="410">
        <f t="shared" si="7"/>
        <v>6.25E-2</v>
      </c>
      <c r="D176" s="411" t="s">
        <v>185</v>
      </c>
      <c r="E176" s="411" t="s">
        <v>185</v>
      </c>
      <c r="F176" s="412" t="s">
        <v>185</v>
      </c>
      <c r="G176" s="413"/>
      <c r="H176" s="433"/>
      <c r="I176" s="387" t="str">
        <f>IF(EXACT(F176, G176), "none", IF(ISNUMBER(MATCH(G176, 'MP Analysis Input'!$A$15:$A$21, 0)), "soft", "hard"))</f>
        <v>hard</v>
      </c>
    </row>
    <row r="177" spans="1:9" ht="15" customHeight="1" x14ac:dyDescent="0.25">
      <c r="A177" s="408" t="s">
        <v>332</v>
      </c>
      <c r="B177" s="409">
        <v>40</v>
      </c>
      <c r="C177" s="410">
        <f t="shared" si="7"/>
        <v>6.25E-2</v>
      </c>
      <c r="D177" s="411" t="s">
        <v>185</v>
      </c>
      <c r="E177" s="411" t="s">
        <v>185</v>
      </c>
      <c r="F177" s="412" t="s">
        <v>185</v>
      </c>
      <c r="G177" s="413"/>
      <c r="H177" s="433"/>
      <c r="I177" s="387" t="str">
        <f>IF(EXACT(F177, G177), "none", IF(ISNUMBER(MATCH(G177, 'MP Analysis Input'!$A$15:$A$21, 0)), "soft", "hard"))</f>
        <v>hard</v>
      </c>
    </row>
    <row r="178" spans="1:9" ht="15" customHeight="1" x14ac:dyDescent="0.25">
      <c r="A178" s="408" t="s">
        <v>333</v>
      </c>
      <c r="B178" s="409">
        <v>41.5</v>
      </c>
      <c r="C178" s="410">
        <f t="shared" si="7"/>
        <v>6.4843750000000006E-2</v>
      </c>
      <c r="D178" s="411" t="s">
        <v>185</v>
      </c>
      <c r="E178" s="411" t="s">
        <v>185</v>
      </c>
      <c r="F178" s="412" t="s">
        <v>185</v>
      </c>
      <c r="G178" s="413"/>
      <c r="H178" s="433"/>
      <c r="I178" s="387" t="str">
        <f>IF(EXACT(F178, G178), "none", IF(ISNUMBER(MATCH(G178, 'MP Analysis Input'!$A$15:$A$21, 0)), "soft", "hard"))</f>
        <v>hard</v>
      </c>
    </row>
    <row r="179" spans="1:9" ht="15" customHeight="1" x14ac:dyDescent="0.25">
      <c r="A179" s="408" t="s">
        <v>334</v>
      </c>
      <c r="B179" s="409">
        <v>43</v>
      </c>
      <c r="C179" s="410">
        <f t="shared" si="7"/>
        <v>6.7187499999999997E-2</v>
      </c>
      <c r="D179" s="411" t="s">
        <v>185</v>
      </c>
      <c r="E179" s="411" t="s">
        <v>185</v>
      </c>
      <c r="F179" s="412" t="s">
        <v>185</v>
      </c>
      <c r="G179" s="413"/>
      <c r="H179" s="433"/>
      <c r="I179" s="387" t="str">
        <f>IF(EXACT(F179, G179), "none", IF(ISNUMBER(MATCH(G179, 'MP Analysis Input'!$A$15:$A$21, 0)), "soft", "hard"))</f>
        <v>hard</v>
      </c>
    </row>
    <row r="180" spans="1:9" ht="15" customHeight="1" x14ac:dyDescent="0.25">
      <c r="A180" s="408" t="s">
        <v>335</v>
      </c>
      <c r="B180" s="409">
        <v>124.6</v>
      </c>
      <c r="C180" s="410">
        <f t="shared" si="7"/>
        <v>0.19468750000000001</v>
      </c>
      <c r="D180" s="411" t="s">
        <v>122</v>
      </c>
      <c r="E180" s="411" t="s">
        <v>122</v>
      </c>
      <c r="F180" s="412" t="s">
        <v>122</v>
      </c>
      <c r="G180" s="413"/>
      <c r="H180" s="433"/>
      <c r="I180" s="387" t="str">
        <f>IF(EXACT(F180, G180), "none", IF(ISNUMBER(MATCH(G180, 'MP Analysis Input'!$A$15:$A$21, 0)), "soft", "hard"))</f>
        <v>hard</v>
      </c>
    </row>
    <row r="181" spans="1:9" ht="15" customHeight="1" x14ac:dyDescent="0.25">
      <c r="A181" s="408" t="s">
        <v>336</v>
      </c>
      <c r="B181" s="409">
        <v>292.8</v>
      </c>
      <c r="C181" s="410">
        <f t="shared" si="7"/>
        <v>0.45750000000000002</v>
      </c>
      <c r="D181" s="411" t="s">
        <v>175</v>
      </c>
      <c r="E181" s="411" t="s">
        <v>130</v>
      </c>
      <c r="F181" s="412" t="s">
        <v>130</v>
      </c>
      <c r="G181" s="413"/>
      <c r="H181" s="433"/>
      <c r="I181" s="387" t="str">
        <f>IF(EXACT(F181, G181), "none", IF(ISNUMBER(MATCH(G181, 'MP Analysis Input'!$A$15:$A$21, 0)), "soft", "hard"))</f>
        <v>hard</v>
      </c>
    </row>
    <row r="182" spans="1:9" ht="13.5" customHeight="1" x14ac:dyDescent="0.25"/>
    <row r="183" spans="1:9" ht="13.5" customHeight="1" x14ac:dyDescent="0.25"/>
  </sheetData>
  <sortState ref="A22:I181">
    <sortCondition ref="A22:A181"/>
  </sortState>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heetViews>
  <sheetFormatPr defaultRowHeight="15" x14ac:dyDescent="0.25"/>
  <cols>
    <col min="1" max="1" width="4.71093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3" width="11.140625" style="5" customWidth="1"/>
    <col min="24" max="24" width="11.42578125" style="5" customWidth="1"/>
    <col min="25" max="25" width="10.42578125" style="5" bestFit="1" customWidth="1"/>
    <col min="26" max="26" width="8.7109375" style="5" customWidth="1"/>
    <col min="27" max="27" width="10.140625" customWidth="1"/>
    <col min="28" max="28" width="9.28515625" customWidth="1"/>
    <col min="29" max="29" width="12" customWidth="1"/>
    <col min="30" max="71" width="9.140625" customWidth="1"/>
    <col min="72" max="72" width="9.140625" style="5" customWidth="1"/>
    <col min="73" max="16384" width="9.140625" style="5"/>
  </cols>
  <sheetData>
    <row r="1" spans="1:71" ht="46.5" customHeight="1" thickBot="1" x14ac:dyDescent="0.3">
      <c r="A1" s="110" t="s">
        <v>0</v>
      </c>
      <c r="Y1"/>
      <c r="Z1"/>
      <c r="BR1" s="5"/>
      <c r="BS1" s="5"/>
    </row>
    <row r="2" spans="1:71" ht="15.75" customHeight="1" thickBot="1" x14ac:dyDescent="0.3">
      <c r="B2" s="600" t="s">
        <v>1</v>
      </c>
      <c r="C2" s="599"/>
      <c r="D2" s="599"/>
      <c r="E2" s="599"/>
      <c r="F2" s="599"/>
      <c r="G2" s="599"/>
      <c r="H2" s="599"/>
      <c r="I2" s="599"/>
      <c r="J2" s="599"/>
      <c r="K2" s="599"/>
      <c r="L2" s="599"/>
      <c r="M2" s="599"/>
      <c r="N2" s="599"/>
      <c r="O2" s="599"/>
      <c r="P2" s="599"/>
      <c r="Q2" s="599"/>
      <c r="R2" s="599"/>
      <c r="Y2"/>
      <c r="Z2"/>
      <c r="BR2" s="5"/>
      <c r="BS2" s="5"/>
    </row>
    <row r="3" spans="1:71"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580"/>
    </row>
    <row r="4" spans="1:71"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row>
    <row r="5" spans="1:71" s="43" customFormat="1" ht="15.75" customHeight="1" thickBot="1" x14ac:dyDescent="0.3">
      <c r="B5" s="496">
        <v>2018</v>
      </c>
      <c r="C5" s="496">
        <v>2018</v>
      </c>
      <c r="D5" s="497">
        <v>2018</v>
      </c>
      <c r="E5" s="498">
        <v>4.2500000000000003E-2</v>
      </c>
      <c r="F5" s="498">
        <v>2.9000000000000001E-2</v>
      </c>
      <c r="G5" s="498">
        <v>0.03</v>
      </c>
      <c r="H5" s="498">
        <v>0.04</v>
      </c>
      <c r="I5" s="499">
        <v>0</v>
      </c>
      <c r="J5" s="503">
        <v>30</v>
      </c>
      <c r="K5" s="500">
        <v>0.05</v>
      </c>
      <c r="L5" s="504" t="s">
        <v>25</v>
      </c>
      <c r="M5" s="501">
        <v>475</v>
      </c>
      <c r="N5" s="505">
        <v>15</v>
      </c>
      <c r="O5" s="506" t="s">
        <v>26</v>
      </c>
      <c r="P5" s="500">
        <v>3.5999999999999997E-2</v>
      </c>
      <c r="Q5" s="507" t="s">
        <v>466</v>
      </c>
      <c r="R5" s="502">
        <v>73</v>
      </c>
    </row>
    <row r="6" spans="1:71" s="43" customFormat="1" ht="15" customHeight="1" thickBot="1" x14ac:dyDescent="0.3">
      <c r="A6" s="82"/>
      <c r="B6" s="44"/>
      <c r="C6" s="44"/>
      <c r="D6" s="120"/>
      <c r="E6" s="120"/>
      <c r="F6" s="120"/>
      <c r="G6" s="120"/>
      <c r="H6" s="120"/>
      <c r="I6" s="44"/>
      <c r="J6" s="44"/>
      <c r="K6" s="82"/>
      <c r="L6" s="82"/>
      <c r="M6" s="74"/>
      <c r="N6" s="45"/>
      <c r="O6" s="120"/>
      <c r="P6" s="44"/>
      <c r="Q6" s="121"/>
      <c r="R6" s="121"/>
      <c r="T6" s="121"/>
      <c r="U6" s="75"/>
    </row>
    <row r="7" spans="1:71" s="43" customFormat="1" ht="20.25" customHeight="1" thickBot="1" x14ac:dyDescent="0.3">
      <c r="A7" s="82"/>
      <c r="B7" s="598" t="s">
        <v>27</v>
      </c>
      <c r="C7" s="599"/>
      <c r="D7" s="599"/>
      <c r="E7" s="599"/>
      <c r="F7" s="599"/>
      <c r="G7"/>
      <c r="H7"/>
      <c r="I7"/>
      <c r="K7" s="601" t="s">
        <v>28</v>
      </c>
      <c r="L7" s="602"/>
      <c r="M7" s="602"/>
      <c r="N7" s="603"/>
      <c r="O7" s="121"/>
      <c r="W7" s="5"/>
    </row>
    <row r="8" spans="1:71" s="43" customFormat="1" ht="20.25" customHeight="1" thickBot="1" x14ac:dyDescent="0.3">
      <c r="B8" s="604" t="s">
        <v>29</v>
      </c>
      <c r="C8" s="606"/>
      <c r="D8" s="604" t="str">
        <f>D5 &amp;" NPV Benefit ($Million)"</f>
        <v>2018 NPV Benefit ($Million)</v>
      </c>
      <c r="E8" s="605"/>
      <c r="F8" s="606"/>
      <c r="G8"/>
      <c r="H8"/>
      <c r="I8"/>
      <c r="K8" s="477"/>
      <c r="L8" s="588" t="s">
        <v>31</v>
      </c>
      <c r="M8" s="589"/>
      <c r="N8" s="590"/>
      <c r="Y8" s="5"/>
    </row>
    <row r="9" spans="1:71" s="43" customFormat="1" ht="20.25" customHeight="1" thickBot="1" x14ac:dyDescent="0.3">
      <c r="B9" s="574" t="s">
        <v>32</v>
      </c>
      <c r="C9" s="575"/>
      <c r="D9" s="576">
        <f>SUM('Step 1'!$W$54-'Step 1'!$Q$54)</f>
        <v>176.85010919518362</v>
      </c>
      <c r="E9" s="577"/>
      <c r="F9" s="578"/>
      <c r="G9"/>
      <c r="H9"/>
      <c r="I9"/>
      <c r="K9" s="508"/>
      <c r="L9" s="585" t="s">
        <v>33</v>
      </c>
      <c r="M9" s="586"/>
      <c r="N9" s="587"/>
      <c r="O9" s="121"/>
      <c r="Z9" s="82"/>
    </row>
    <row r="10" spans="1:71" s="43" customFormat="1" ht="20.25" customHeight="1" thickBot="1" x14ac:dyDescent="0.3">
      <c r="B10" s="574" t="s">
        <v>34</v>
      </c>
      <c r="C10" s="575"/>
      <c r="D10" s="576" t="e">
        <f>SUM(#REF!-#REF!)</f>
        <v>#REF!</v>
      </c>
      <c r="E10" s="577"/>
      <c r="F10" s="578"/>
      <c r="G10"/>
      <c r="H10"/>
      <c r="I10"/>
      <c r="O10" s="121"/>
      <c r="Z10" s="82"/>
    </row>
    <row r="11" spans="1:71" s="43" customFormat="1" ht="20.25" customHeight="1" thickBot="1" x14ac:dyDescent="0.3">
      <c r="B11" s="574" t="s">
        <v>35</v>
      </c>
      <c r="C11" s="575"/>
      <c r="D11" s="576" t="e">
        <f>SUM(#REF!-#REF!)</f>
        <v>#REF!</v>
      </c>
      <c r="E11" s="577"/>
      <c r="F11" s="578"/>
      <c r="G11"/>
      <c r="H11"/>
      <c r="I11"/>
      <c r="K11"/>
      <c r="L11"/>
      <c r="M11"/>
      <c r="N11"/>
      <c r="O11" s="122"/>
      <c r="Z11" s="82"/>
    </row>
    <row r="12" spans="1:71" s="43" customFormat="1" ht="20.25" customHeight="1" thickBot="1" x14ac:dyDescent="0.3">
      <c r="B12" s="574" t="s">
        <v>36</v>
      </c>
      <c r="C12" s="575"/>
      <c r="D12" s="576" t="e">
        <f>SUM(#REF!-#REF!)</f>
        <v>#REF!</v>
      </c>
      <c r="E12" s="577"/>
      <c r="F12" s="578"/>
      <c r="G12"/>
      <c r="H12"/>
      <c r="I12"/>
      <c r="K12"/>
      <c r="L12"/>
      <c r="M12"/>
      <c r="N12"/>
      <c r="O12" s="121"/>
      <c r="Z12" s="82"/>
    </row>
    <row r="13" spans="1:71" s="43" customFormat="1" ht="20.25" customHeight="1" thickBot="1" x14ac:dyDescent="0.3">
      <c r="B13" s="574" t="s">
        <v>37</v>
      </c>
      <c r="C13" s="575"/>
      <c r="D13" s="576" t="e">
        <f>SUM(#REF!-#REF!)</f>
        <v>#REF!</v>
      </c>
      <c r="E13" s="577"/>
      <c r="F13" s="578"/>
      <c r="G13"/>
      <c r="H13"/>
      <c r="I13"/>
      <c r="K13"/>
      <c r="L13"/>
      <c r="M13"/>
      <c r="N13"/>
      <c r="O13"/>
      <c r="Z13" s="82"/>
    </row>
    <row r="14" spans="1:71" s="43" customFormat="1" ht="20.25" customHeight="1" thickBot="1" x14ac:dyDescent="0.3">
      <c r="B14" s="5"/>
      <c r="C14" s="5"/>
      <c r="D14" s="5"/>
      <c r="E14" s="5"/>
      <c r="F14" s="5"/>
      <c r="G14"/>
      <c r="H14"/>
      <c r="I14"/>
      <c r="K14"/>
      <c r="L14"/>
      <c r="M14"/>
      <c r="N14"/>
      <c r="O14"/>
      <c r="Z14" s="82"/>
    </row>
    <row r="15" spans="1:71" s="43" customFormat="1" ht="20.25" customHeight="1" thickBot="1" x14ac:dyDescent="0.3">
      <c r="B15" s="509">
        <f>MP_new!G4</f>
        <v>0</v>
      </c>
      <c r="C15" s="5" t="s">
        <v>565</v>
      </c>
      <c r="D15" s="5"/>
      <c r="E15" s="5"/>
      <c r="F15" s="5"/>
      <c r="G15" s="5"/>
      <c r="H15" s="5"/>
      <c r="I15" s="5"/>
      <c r="K15"/>
      <c r="L15"/>
      <c r="M15"/>
      <c r="N15"/>
      <c r="O15"/>
      <c r="Z15" s="82"/>
    </row>
    <row r="16" spans="1:71" s="43" customFormat="1" ht="20.25" customHeight="1" x14ac:dyDescent="0.25">
      <c r="A16" s="123"/>
      <c r="B16" s="5"/>
      <c r="C16" s="5"/>
      <c r="D16" s="5"/>
      <c r="E16" s="5"/>
      <c r="F16" s="5"/>
      <c r="G16" s="5"/>
      <c r="H16" s="5"/>
      <c r="I16" s="5"/>
      <c r="K16"/>
      <c r="L16"/>
      <c r="M16"/>
      <c r="N16"/>
      <c r="O16"/>
      <c r="Z16" s="12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2:R2"/>
    <mergeCell ref="D12:F12"/>
    <mergeCell ref="B11:C11"/>
    <mergeCell ref="D11:F11"/>
    <mergeCell ref="B12:C12"/>
    <mergeCell ref="K7:N7"/>
    <mergeCell ref="B9:C9"/>
    <mergeCell ref="D9:F9"/>
    <mergeCell ref="D8:F8"/>
    <mergeCell ref="B8:C8"/>
    <mergeCell ref="B10:C10"/>
    <mergeCell ref="D10:F10"/>
    <mergeCell ref="B13:C13"/>
    <mergeCell ref="D13:F13"/>
    <mergeCell ref="Q3:R3"/>
    <mergeCell ref="O3:P3"/>
    <mergeCell ref="D3:E3"/>
    <mergeCell ref="L9:N9"/>
    <mergeCell ref="L8:N8"/>
    <mergeCell ref="F3:H3"/>
    <mergeCell ref="L3:N3"/>
    <mergeCell ref="I3:K3"/>
    <mergeCell ref="B7:F7"/>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60"/>
  <sheetViews>
    <sheetView topLeftCell="A16" workbookViewId="0">
      <selection activeCell="R23" sqref="R23"/>
    </sheetView>
  </sheetViews>
  <sheetFormatPr defaultRowHeight="15" x14ac:dyDescent="0.25"/>
  <cols>
    <col min="1" max="1" width="18.5703125" customWidth="1"/>
    <col min="2" max="7" width="12.85546875" style="107" customWidth="1"/>
    <col min="8" max="8" width="7.85546875" customWidth="1"/>
    <col min="9" max="9" width="17.7109375" style="109" customWidth="1"/>
    <col min="10" max="15" width="12.85546875" customWidth="1"/>
  </cols>
  <sheetData>
    <row r="1" spans="1:22" ht="37.5" customHeight="1" x14ac:dyDescent="0.25">
      <c r="A1" s="111" t="s">
        <v>41</v>
      </c>
    </row>
    <row r="2" spans="1:22" ht="15.75" customHeight="1" thickBot="1" x14ac:dyDescent="0.3">
      <c r="B2" s="365" t="s">
        <v>506</v>
      </c>
      <c r="C2" s="365" t="str">
        <f>'10 YEAR PROJECTION'!L4</f>
        <v>21/22</v>
      </c>
      <c r="D2" s="365" t="str">
        <f>'10 YEAR PROJECTION'!O4</f>
        <v>24/25</v>
      </c>
      <c r="E2" s="365" t="str">
        <f>'10 YEAR PROJECTION'!R4</f>
        <v>27/28</v>
      </c>
      <c r="F2" s="365" t="str">
        <f>'10 YEAR PROJECTION'!U4</f>
        <v>30/31</v>
      </c>
      <c r="G2" s="365" t="str">
        <f>'10 YEAR PROJECTION'!W4</f>
        <v>32/33</v>
      </c>
    </row>
    <row r="3" spans="1:22" ht="26.25" customHeight="1" x14ac:dyDescent="0.25">
      <c r="A3" s="611" t="s">
        <v>38</v>
      </c>
      <c r="B3" s="609" t="s">
        <v>42</v>
      </c>
      <c r="C3" s="609" t="s">
        <v>43</v>
      </c>
      <c r="D3" s="609" t="s">
        <v>44</v>
      </c>
      <c r="E3" s="609" t="s">
        <v>45</v>
      </c>
      <c r="F3" s="609" t="s">
        <v>46</v>
      </c>
      <c r="G3" s="609" t="s">
        <v>47</v>
      </c>
      <c r="I3" s="611" t="s">
        <v>39</v>
      </c>
      <c r="J3" s="609" t="s">
        <v>42</v>
      </c>
      <c r="K3" s="609" t="s">
        <v>43</v>
      </c>
      <c r="L3" s="609" t="s">
        <v>44</v>
      </c>
      <c r="M3" s="609" t="s">
        <v>45</v>
      </c>
      <c r="N3" s="609" t="s">
        <v>46</v>
      </c>
      <c r="O3" s="609" t="s">
        <v>47</v>
      </c>
      <c r="Q3" s="379" t="s">
        <v>480</v>
      </c>
      <c r="R3" s="379"/>
      <c r="S3" s="379"/>
      <c r="T3" s="379"/>
      <c r="U3" s="379"/>
      <c r="V3" s="379"/>
    </row>
    <row r="4" spans="1:22" ht="26.25" customHeight="1" thickBot="1" x14ac:dyDescent="0.3">
      <c r="A4" s="612"/>
      <c r="B4" s="610"/>
      <c r="C4" s="610"/>
      <c r="D4" s="610"/>
      <c r="E4" s="610"/>
      <c r="F4" s="610"/>
      <c r="G4" s="610"/>
      <c r="I4" s="612"/>
      <c r="J4" s="610"/>
      <c r="K4" s="610"/>
      <c r="L4" s="610"/>
      <c r="M4" s="610"/>
      <c r="N4" s="610"/>
      <c r="O4" s="610"/>
      <c r="Q4" s="386" t="s">
        <v>485</v>
      </c>
      <c r="R4" s="387"/>
      <c r="S4" s="386"/>
      <c r="T4" s="387"/>
      <c r="U4" s="386"/>
      <c r="V4" s="386"/>
    </row>
    <row r="5" spans="1:22" s="108" customFormat="1" ht="32.25" customHeight="1" thickBot="1" x14ac:dyDescent="0.25">
      <c r="A5" s="118" t="str">
        <f>'Cost Analysis Input'!E2</f>
        <v>Traditional Shallow Flood</v>
      </c>
      <c r="B5" s="468"/>
      <c r="C5" s="468"/>
      <c r="D5" s="468"/>
      <c r="E5" s="468"/>
      <c r="F5" s="468"/>
      <c r="G5" s="468"/>
      <c r="I5" s="118" t="str">
        <f>'Cost Analysis Input'!I2</f>
        <v>Breeding Waterfowl &amp; Meadow</v>
      </c>
      <c r="J5" s="469"/>
      <c r="K5" s="469"/>
      <c r="L5" s="469"/>
      <c r="M5" s="469"/>
      <c r="N5" s="469"/>
      <c r="O5" s="469"/>
      <c r="Q5" s="383" t="s">
        <v>483</v>
      </c>
      <c r="R5" s="383"/>
      <c r="S5" s="383"/>
      <c r="T5" s="383"/>
      <c r="U5" s="383"/>
      <c r="V5" s="383"/>
    </row>
    <row r="6" spans="1:22" s="108" customFormat="1" ht="32.25" customHeight="1" thickBot="1" x14ac:dyDescent="0.25">
      <c r="A6" s="118" t="str">
        <f>'Cost Analysis Input'!E3</f>
        <v>Sprinkler Shallow Flood</v>
      </c>
      <c r="B6" s="510"/>
      <c r="C6" s="468"/>
      <c r="D6" s="468"/>
      <c r="E6" s="468"/>
      <c r="F6" s="468"/>
      <c r="G6" s="468"/>
      <c r="I6" s="118" t="str">
        <f>'Cost Analysis Input'!I3</f>
        <v>Brine</v>
      </c>
      <c r="J6" s="469"/>
      <c r="K6" s="469"/>
      <c r="L6" s="469"/>
      <c r="M6" s="469"/>
      <c r="N6" s="469"/>
      <c r="O6" s="469"/>
    </row>
    <row r="7" spans="1:22" s="108" customFormat="1" ht="32.25" customHeight="1" thickBot="1" x14ac:dyDescent="0.25">
      <c r="A7" s="118" t="str">
        <f>'Cost Analysis Input'!E4</f>
        <v>Managed Vegetation Farm</v>
      </c>
      <c r="B7" s="510"/>
      <c r="C7" s="468"/>
      <c r="D7" s="468"/>
      <c r="E7" s="468"/>
      <c r="F7" s="468"/>
      <c r="G7" s="468"/>
      <c r="I7" s="118" t="str">
        <f>'Cost Analysis Input'!I4</f>
        <v>BWF</v>
      </c>
      <c r="J7" s="469"/>
      <c r="K7" s="469"/>
      <c r="L7" s="469"/>
      <c r="M7" s="469"/>
      <c r="N7" s="469"/>
      <c r="O7" s="469"/>
    </row>
    <row r="8" spans="1:22" s="108" customFormat="1" ht="32.25" customHeight="1" thickBot="1" x14ac:dyDescent="0.25">
      <c r="A8" s="118" t="str">
        <f>'Cost Analysis Input'!E5</f>
        <v>Managed Vegetation Phase 7a, 9 and 10</v>
      </c>
      <c r="B8" s="510"/>
      <c r="C8" s="468"/>
      <c r="D8" s="468"/>
      <c r="E8" s="468"/>
      <c r="F8" s="468"/>
      <c r="G8" s="468"/>
      <c r="I8" s="118" t="str">
        <f>'Cost Analysis Input'!I5</f>
        <v>DWM_Dec</v>
      </c>
      <c r="J8" s="469"/>
      <c r="K8" s="469"/>
      <c r="L8" s="469"/>
      <c r="M8" s="469"/>
      <c r="N8" s="469"/>
      <c r="O8" s="469"/>
    </row>
    <row r="9" spans="1:22" s="108" customFormat="1" ht="32.25" customHeight="1" thickBot="1" x14ac:dyDescent="0.25">
      <c r="A9" s="118" t="str">
        <f>'Cost Analysis Input'!E6</f>
        <v>Gravel</v>
      </c>
      <c r="B9" s="510"/>
      <c r="C9" s="468"/>
      <c r="D9" s="468"/>
      <c r="E9" s="468"/>
      <c r="F9" s="468"/>
      <c r="G9" s="468"/>
      <c r="I9" s="118" t="str">
        <f>'Cost Analysis Input'!I6</f>
        <v>DWM_Dust Control</v>
      </c>
      <c r="J9" s="469"/>
      <c r="K9" s="469"/>
      <c r="L9" s="469"/>
      <c r="M9" s="469"/>
      <c r="N9" s="469"/>
      <c r="O9" s="469"/>
    </row>
    <row r="10" spans="1:22" s="108" customFormat="1" ht="32.25" customHeight="1" thickBot="1" x14ac:dyDescent="0.25">
      <c r="A10" s="118" t="str">
        <f>'Cost Analysis Input'!E7</f>
        <v>Brine with BACM Backup</v>
      </c>
      <c r="B10" s="510"/>
      <c r="C10" s="468"/>
      <c r="D10" s="468"/>
      <c r="E10" s="468"/>
      <c r="F10" s="468"/>
      <c r="G10" s="468"/>
      <c r="I10" s="118" t="str">
        <f>'Cost Analysis Input'!I7</f>
        <v>DWM_Jan</v>
      </c>
      <c r="J10" s="469"/>
      <c r="K10" s="469"/>
      <c r="L10" s="469"/>
      <c r="M10" s="469"/>
      <c r="N10" s="469"/>
      <c r="O10" s="469"/>
    </row>
    <row r="11" spans="1:22" s="108" customFormat="1" ht="32.25" customHeight="1" thickBot="1" x14ac:dyDescent="0.25">
      <c r="A11" s="118" t="str">
        <f>'Cost Analysis Input'!E8</f>
        <v>Tillage with BACM Backup</v>
      </c>
      <c r="B11" s="510"/>
      <c r="C11" s="468"/>
      <c r="D11" s="468"/>
      <c r="E11" s="468"/>
      <c r="F11" s="468"/>
      <c r="G11" s="468"/>
      <c r="I11" s="118" t="str">
        <f>'Cost Analysis Input'!I8</f>
        <v>DWM_Oct</v>
      </c>
      <c r="J11" s="469"/>
      <c r="K11" s="469"/>
      <c r="L11" s="469"/>
      <c r="M11" s="469"/>
      <c r="N11" s="469"/>
      <c r="O11" s="469"/>
    </row>
    <row r="12" spans="1:22" s="108" customFormat="1" ht="32.25" customHeight="1" thickBot="1" x14ac:dyDescent="0.25">
      <c r="A12" s="118" t="str">
        <f>'Cost Analysis Input'!E9</f>
        <v>Channel Areas Reduced MDCE BACM</v>
      </c>
      <c r="B12" s="510"/>
      <c r="C12" s="468"/>
      <c r="D12" s="468"/>
      <c r="E12" s="468"/>
      <c r="F12" s="468"/>
      <c r="G12" s="468"/>
      <c r="I12" s="118" t="str">
        <f>'Cost Analysis Input'!I9</f>
        <v>DWM_Plovers</v>
      </c>
      <c r="J12" s="469"/>
      <c r="K12" s="469"/>
      <c r="L12" s="469"/>
      <c r="M12" s="469"/>
      <c r="N12" s="469"/>
      <c r="O12" s="469"/>
    </row>
    <row r="13" spans="1:22" s="108" customFormat="1" ht="32.25" customHeight="1" thickBot="1" x14ac:dyDescent="0.25">
      <c r="A13" s="118" t="str">
        <f>'Cost Analysis Input'!E10</f>
        <v>Sand Fences</v>
      </c>
      <c r="B13" s="510"/>
      <c r="C13" s="468"/>
      <c r="D13" s="468"/>
      <c r="E13" s="468"/>
      <c r="F13" s="468"/>
      <c r="G13" s="468"/>
      <c r="I13" s="118" t="str">
        <f>'Cost Analysis Input'!I10</f>
        <v>DWM_Spring_only</v>
      </c>
      <c r="J13" s="469"/>
      <c r="K13" s="469"/>
      <c r="L13" s="469"/>
      <c r="M13" s="469"/>
      <c r="N13" s="469"/>
      <c r="O13" s="469"/>
    </row>
    <row r="14" spans="1:22" s="108" customFormat="1" ht="32.25" customHeight="1" thickBot="1" x14ac:dyDescent="0.3">
      <c r="A14" s="118" t="str">
        <f>'Cost Analysis Input'!E12</f>
        <v>Habitat DCM</v>
      </c>
      <c r="B14" s="511"/>
      <c r="C14" s="468"/>
      <c r="D14" s="468"/>
      <c r="E14" s="468"/>
      <c r="F14" s="468"/>
      <c r="G14" s="468"/>
      <c r="I14" s="118" t="str">
        <f>'Cost Analysis Input'!I11</f>
        <v>ENV</v>
      </c>
      <c r="J14" s="469"/>
      <c r="K14" s="469"/>
      <c r="L14" s="469"/>
      <c r="M14" s="469"/>
      <c r="N14" s="469"/>
      <c r="O14" s="469"/>
      <c r="Q14"/>
      <c r="R14"/>
      <c r="S14"/>
      <c r="T14"/>
      <c r="U14"/>
      <c r="V14"/>
    </row>
    <row r="15" spans="1:22" s="108" customFormat="1" ht="32.25" customHeight="1" thickBot="1" x14ac:dyDescent="0.3">
      <c r="A15" s="118" t="s">
        <v>40</v>
      </c>
      <c r="B15" s="512"/>
      <c r="C15" s="468"/>
      <c r="D15" s="468"/>
      <c r="E15" s="468"/>
      <c r="F15" s="468"/>
      <c r="G15" s="468"/>
      <c r="I15" s="118" t="str">
        <f>'Cost Analysis Input'!I12</f>
        <v>Gravel</v>
      </c>
      <c r="J15" s="469"/>
      <c r="K15" s="469"/>
      <c r="L15" s="469"/>
      <c r="M15" s="469"/>
      <c r="N15" s="469"/>
      <c r="O15" s="469"/>
      <c r="Q15"/>
      <c r="R15"/>
      <c r="S15"/>
      <c r="T15"/>
      <c r="U15"/>
      <c r="V15"/>
    </row>
    <row r="16" spans="1:22" ht="32.25" customHeight="1" thickBot="1" x14ac:dyDescent="0.4">
      <c r="A16" s="615" t="s">
        <v>471</v>
      </c>
      <c r="B16" s="616"/>
      <c r="C16" s="616"/>
      <c r="D16" s="616"/>
      <c r="E16" s="616"/>
      <c r="F16" s="616"/>
      <c r="G16" s="616"/>
      <c r="I16" s="118" t="str">
        <f>'Cost Analysis Input'!I13</f>
        <v>Meadow</v>
      </c>
      <c r="J16" s="469"/>
      <c r="K16" s="469"/>
      <c r="L16" s="469"/>
      <c r="M16" s="469"/>
      <c r="N16" s="469"/>
      <c r="O16" s="469"/>
    </row>
    <row r="17" spans="1:15" ht="32.25" customHeight="1" thickBot="1" x14ac:dyDescent="0.3">
      <c r="A17" s="366"/>
      <c r="B17" s="367" t="s">
        <v>463</v>
      </c>
      <c r="C17" s="368" t="s">
        <v>467</v>
      </c>
      <c r="D17" s="368" t="s">
        <v>468</v>
      </c>
      <c r="E17" s="368" t="s">
        <v>469</v>
      </c>
      <c r="F17" s="368" t="s">
        <v>470</v>
      </c>
      <c r="G17" s="369" t="s">
        <v>472</v>
      </c>
      <c r="I17" s="118" t="str">
        <f>'Cost Analysis Input'!I14</f>
        <v>MSB</v>
      </c>
      <c r="J17" s="469"/>
      <c r="K17" s="469"/>
      <c r="L17" s="469"/>
      <c r="M17" s="469"/>
      <c r="N17" s="469"/>
      <c r="O17" s="469"/>
    </row>
    <row r="18" spans="1:15" ht="32.25" customHeight="1" thickBot="1" x14ac:dyDescent="0.3">
      <c r="A18" s="370" t="s">
        <v>111</v>
      </c>
      <c r="B18" s="470">
        <f>'Cost Analysis Input'!F2</f>
        <v>25</v>
      </c>
      <c r="C18" s="473">
        <f t="shared" ref="C18:G27" si="0">IF((C5-B5)&gt;0,((C5-B5)/640)*$B18,0)</f>
        <v>0</v>
      </c>
      <c r="D18" s="473">
        <f t="shared" si="0"/>
        <v>0</v>
      </c>
      <c r="E18" s="473">
        <f t="shared" si="0"/>
        <v>0</v>
      </c>
      <c r="F18" s="473">
        <f t="shared" si="0"/>
        <v>0</v>
      </c>
      <c r="G18" s="473">
        <f t="shared" si="0"/>
        <v>0</v>
      </c>
      <c r="I18" s="118" t="str">
        <f>'Cost Analysis Input'!I15</f>
        <v>MSB and SNPL</v>
      </c>
      <c r="J18" s="469"/>
      <c r="K18" s="469"/>
      <c r="L18" s="469"/>
      <c r="M18" s="469"/>
      <c r="N18" s="469"/>
      <c r="O18" s="469"/>
    </row>
    <row r="19" spans="1:15" ht="32.25" customHeight="1" thickBot="1" x14ac:dyDescent="0.3">
      <c r="A19" s="370" t="s">
        <v>121</v>
      </c>
      <c r="B19" s="470">
        <f>'Cost Analysis Input'!F3</f>
        <v>32</v>
      </c>
      <c r="C19" s="473">
        <f t="shared" si="0"/>
        <v>0</v>
      </c>
      <c r="D19" s="473">
        <f t="shared" si="0"/>
        <v>0</v>
      </c>
      <c r="E19" s="473">
        <f t="shared" si="0"/>
        <v>0</v>
      </c>
      <c r="F19" s="473">
        <f t="shared" si="0"/>
        <v>0</v>
      </c>
      <c r="G19" s="473">
        <f t="shared" si="0"/>
        <v>0</v>
      </c>
      <c r="I19" s="118" t="str">
        <f>'Cost Analysis Input'!I16</f>
        <v>MSB and SNPL_gravel</v>
      </c>
      <c r="J19" s="469"/>
      <c r="K19" s="469"/>
      <c r="L19" s="469"/>
      <c r="M19" s="469"/>
      <c r="N19" s="469"/>
      <c r="O19" s="469"/>
    </row>
    <row r="20" spans="1:15" ht="32.25" customHeight="1" thickBot="1" x14ac:dyDescent="0.3">
      <c r="A20" s="370" t="s">
        <v>125</v>
      </c>
      <c r="B20" s="470">
        <f>'Cost Analysis Input'!F4</f>
        <v>36</v>
      </c>
      <c r="C20" s="473">
        <f t="shared" si="0"/>
        <v>0</v>
      </c>
      <c r="D20" s="473">
        <f t="shared" si="0"/>
        <v>0</v>
      </c>
      <c r="E20" s="473">
        <f t="shared" si="0"/>
        <v>0</v>
      </c>
      <c r="F20" s="473">
        <f t="shared" si="0"/>
        <v>0</v>
      </c>
      <c r="G20" s="473">
        <f t="shared" si="0"/>
        <v>0</v>
      </c>
      <c r="I20" s="118" t="str">
        <f>'Cost Analysis Input'!I17</f>
        <v>MSB and SNPL_gravel_MWF</v>
      </c>
      <c r="J20" s="469"/>
      <c r="K20" s="469"/>
      <c r="L20" s="469"/>
      <c r="M20" s="469"/>
      <c r="N20" s="469"/>
      <c r="O20" s="469"/>
    </row>
    <row r="21" spans="1:15" ht="32.25" customHeight="1" thickBot="1" x14ac:dyDescent="0.3">
      <c r="A21" s="370" t="s">
        <v>129</v>
      </c>
      <c r="B21" s="470">
        <f>'Cost Analysis Input'!F5</f>
        <v>36</v>
      </c>
      <c r="C21" s="473">
        <f t="shared" si="0"/>
        <v>0</v>
      </c>
      <c r="D21" s="473">
        <f t="shared" si="0"/>
        <v>0</v>
      </c>
      <c r="E21" s="473">
        <f t="shared" si="0"/>
        <v>0</v>
      </c>
      <c r="F21" s="473">
        <f t="shared" si="0"/>
        <v>0</v>
      </c>
      <c r="G21" s="473">
        <f t="shared" si="0"/>
        <v>0</v>
      </c>
      <c r="I21" s="118" t="str">
        <f>'Cost Analysis Input'!I18</f>
        <v>MWF</v>
      </c>
      <c r="J21" s="469"/>
      <c r="K21" s="469"/>
      <c r="L21" s="469"/>
      <c r="M21" s="469"/>
      <c r="N21" s="469"/>
      <c r="O21" s="469"/>
    </row>
    <row r="22" spans="1:15" ht="32.25" customHeight="1" thickBot="1" x14ac:dyDescent="0.3">
      <c r="A22" s="370" t="s">
        <v>133</v>
      </c>
      <c r="B22" s="470">
        <f>'Cost Analysis Input'!F6</f>
        <v>37</v>
      </c>
      <c r="C22" s="473">
        <f t="shared" si="0"/>
        <v>0</v>
      </c>
      <c r="D22" s="473">
        <f t="shared" si="0"/>
        <v>0</v>
      </c>
      <c r="E22" s="473">
        <f t="shared" si="0"/>
        <v>0</v>
      </c>
      <c r="F22" s="473">
        <f t="shared" si="0"/>
        <v>0</v>
      </c>
      <c r="G22" s="473">
        <f t="shared" si="0"/>
        <v>0</v>
      </c>
      <c r="I22" s="118" t="str">
        <f>'Cost Analysis Input'!I19</f>
        <v>MWF and MSB</v>
      </c>
      <c r="J22" s="469"/>
      <c r="K22" s="469"/>
      <c r="L22" s="469"/>
      <c r="M22" s="469"/>
      <c r="N22" s="469"/>
      <c r="O22" s="469"/>
    </row>
    <row r="23" spans="1:15" ht="32.25" customHeight="1" thickBot="1" x14ac:dyDescent="0.3">
      <c r="A23" s="370" t="s">
        <v>123</v>
      </c>
      <c r="B23" s="470">
        <f>'Cost Analysis Input'!F7</f>
        <v>22</v>
      </c>
      <c r="C23" s="473">
        <f t="shared" si="0"/>
        <v>0</v>
      </c>
      <c r="D23" s="473">
        <f t="shared" si="0"/>
        <v>0</v>
      </c>
      <c r="E23" s="473">
        <f t="shared" si="0"/>
        <v>0</v>
      </c>
      <c r="F23" s="473">
        <f t="shared" si="0"/>
        <v>0</v>
      </c>
      <c r="G23" s="473">
        <f t="shared" si="0"/>
        <v>0</v>
      </c>
      <c r="I23" s="118" t="str">
        <f>'Cost Analysis Input'!I20</f>
        <v>MWF and SNPL</v>
      </c>
      <c r="J23" s="469"/>
      <c r="K23" s="469"/>
      <c r="L23" s="469"/>
      <c r="M23" s="469"/>
      <c r="N23" s="469"/>
      <c r="O23" s="469"/>
    </row>
    <row r="24" spans="1:15" ht="32.25" customHeight="1" thickBot="1" x14ac:dyDescent="0.3">
      <c r="A24" s="370" t="s">
        <v>139</v>
      </c>
      <c r="B24" s="470">
        <f>'Cost Analysis Input'!F8</f>
        <v>1</v>
      </c>
      <c r="C24" s="473">
        <f t="shared" si="0"/>
        <v>0</v>
      </c>
      <c r="D24" s="473">
        <f t="shared" si="0"/>
        <v>0</v>
      </c>
      <c r="E24" s="473">
        <f t="shared" si="0"/>
        <v>0</v>
      </c>
      <c r="F24" s="473">
        <f t="shared" si="0"/>
        <v>0</v>
      </c>
      <c r="G24" s="473">
        <f t="shared" si="0"/>
        <v>0</v>
      </c>
      <c r="I24" s="118" t="str">
        <f>'Cost Analysis Input'!I21</f>
        <v>MWF and SNPL_with gravel</v>
      </c>
      <c r="J24" s="469"/>
      <c r="K24" s="469"/>
      <c r="L24" s="469"/>
      <c r="M24" s="469"/>
      <c r="N24" s="469"/>
      <c r="O24" s="469"/>
    </row>
    <row r="25" spans="1:15" ht="32.25" customHeight="1" thickBot="1" x14ac:dyDescent="0.3">
      <c r="A25" s="370" t="s">
        <v>142</v>
      </c>
      <c r="B25" s="470">
        <f>'Cost Analysis Input'!F9</f>
        <v>10</v>
      </c>
      <c r="C25" s="473">
        <f t="shared" si="0"/>
        <v>0</v>
      </c>
      <c r="D25" s="473">
        <f t="shared" si="0"/>
        <v>0</v>
      </c>
      <c r="E25" s="473">
        <f t="shared" si="0"/>
        <v>0</v>
      </c>
      <c r="F25" s="473">
        <f t="shared" si="0"/>
        <v>0</v>
      </c>
      <c r="G25" s="473">
        <f t="shared" si="0"/>
        <v>0</v>
      </c>
      <c r="I25" s="118" t="str">
        <f>'Cost Analysis Input'!I23</f>
        <v>Sand Fences</v>
      </c>
      <c r="J25" s="469"/>
      <c r="K25" s="469"/>
      <c r="L25" s="469"/>
      <c r="M25" s="469"/>
      <c r="N25" s="469"/>
      <c r="O25" s="469"/>
    </row>
    <row r="26" spans="1:15" ht="32.25" customHeight="1" thickBot="1" x14ac:dyDescent="0.3">
      <c r="A26" s="370" t="s">
        <v>146</v>
      </c>
      <c r="B26" s="470">
        <f>'Cost Analysis Input'!F10</f>
        <v>15</v>
      </c>
      <c r="C26" s="473">
        <f t="shared" si="0"/>
        <v>0</v>
      </c>
      <c r="D26" s="473">
        <f t="shared" si="0"/>
        <v>0</v>
      </c>
      <c r="E26" s="473">
        <f t="shared" si="0"/>
        <v>0</v>
      </c>
      <c r="F26" s="473">
        <f t="shared" si="0"/>
        <v>0</v>
      </c>
      <c r="G26" s="473">
        <f t="shared" si="0"/>
        <v>0</v>
      </c>
      <c r="I26" s="118" t="str">
        <f>'Cost Analysis Input'!I24</f>
        <v>SFL</v>
      </c>
      <c r="J26" s="469"/>
      <c r="K26" s="469"/>
      <c r="L26" s="469"/>
      <c r="M26" s="469"/>
      <c r="N26" s="469"/>
      <c r="O26" s="469"/>
    </row>
    <row r="27" spans="1:15" ht="32.25" customHeight="1" thickBot="1" x14ac:dyDescent="0.3">
      <c r="A27" s="370" t="s">
        <v>114</v>
      </c>
      <c r="B27" s="470">
        <f>'Cost Analysis Input'!F12</f>
        <v>35</v>
      </c>
      <c r="C27" s="473">
        <f t="shared" si="0"/>
        <v>0</v>
      </c>
      <c r="D27" s="473">
        <f t="shared" si="0"/>
        <v>0</v>
      </c>
      <c r="E27" s="473">
        <f t="shared" si="0"/>
        <v>0</v>
      </c>
      <c r="F27" s="473">
        <f t="shared" si="0"/>
        <v>0</v>
      </c>
      <c r="G27" s="473">
        <f t="shared" si="0"/>
        <v>0</v>
      </c>
      <c r="I27" s="118" t="str">
        <f>'Cost Analysis Input'!I25</f>
        <v>SFLS</v>
      </c>
      <c r="J27" s="469"/>
      <c r="K27" s="469"/>
      <c r="L27" s="469"/>
      <c r="M27" s="469"/>
      <c r="N27" s="469"/>
      <c r="O27" s="469"/>
    </row>
    <row r="28" spans="1:15" ht="32.25" customHeight="1" thickBot="1" x14ac:dyDescent="0.3">
      <c r="A28" s="613" t="s">
        <v>471</v>
      </c>
      <c r="B28" s="614"/>
      <c r="C28" s="471">
        <f>SUM(C18:C27)</f>
        <v>0</v>
      </c>
      <c r="D28" s="471">
        <f>SUM(D18:D27)</f>
        <v>0</v>
      </c>
      <c r="E28" s="471">
        <f>SUM(E18:E27)</f>
        <v>0</v>
      </c>
      <c r="F28" s="471">
        <f>SUM(F18:F27)</f>
        <v>0</v>
      </c>
      <c r="G28" s="472">
        <f>SUM(G18:G27)</f>
        <v>0</v>
      </c>
      <c r="I28" s="118" t="str">
        <f>'Cost Analysis Input'!I26</f>
        <v>SFP</v>
      </c>
      <c r="J28" s="469"/>
      <c r="K28" s="469"/>
      <c r="L28" s="469"/>
      <c r="M28" s="469"/>
      <c r="N28" s="469"/>
      <c r="O28" s="469"/>
    </row>
    <row r="29" spans="1:15" ht="32.25" customHeight="1" thickBot="1" x14ac:dyDescent="0.4">
      <c r="A29" s="607" t="s">
        <v>649</v>
      </c>
      <c r="B29" s="608"/>
      <c r="C29" s="608"/>
      <c r="D29" s="608"/>
      <c r="E29" s="608"/>
      <c r="F29" s="608"/>
      <c r="G29" s="608"/>
      <c r="I29" s="118" t="str">
        <f>'Cost Analysis Input'!I27</f>
        <v>SNPL_realistic</v>
      </c>
      <c r="J29" s="469"/>
      <c r="K29" s="469"/>
      <c r="L29" s="469"/>
      <c r="M29" s="469"/>
      <c r="N29" s="469"/>
      <c r="O29" s="469"/>
    </row>
    <row r="30" spans="1:15" ht="32.25" customHeight="1" thickBot="1" x14ac:dyDescent="0.3">
      <c r="A30" s="366"/>
      <c r="B30" s="367" t="s">
        <v>650</v>
      </c>
      <c r="C30" s="368" t="s">
        <v>467</v>
      </c>
      <c r="D30" s="368" t="s">
        <v>468</v>
      </c>
      <c r="E30" s="368" t="s">
        <v>469</v>
      </c>
      <c r="F30" s="368" t="s">
        <v>470</v>
      </c>
      <c r="G30" s="369" t="s">
        <v>472</v>
      </c>
      <c r="I30" s="118" t="str">
        <f>'Cost Analysis Input'!I28</f>
        <v>SNPL_with gravel</v>
      </c>
      <c r="J30" s="469"/>
      <c r="K30" s="469"/>
      <c r="L30" s="469"/>
      <c r="M30" s="469"/>
      <c r="N30" s="469"/>
      <c r="O30" s="469"/>
    </row>
    <row r="31" spans="1:15" ht="32.25" customHeight="1" thickBot="1" x14ac:dyDescent="0.3">
      <c r="A31" s="370" t="s">
        <v>651</v>
      </c>
      <c r="B31" s="470">
        <f>'Cost Analysis Input'!S3</f>
        <v>0.25224245718945365</v>
      </c>
      <c r="C31" s="473">
        <f t="shared" ref="C31" si="1">IF((C5-B5)&gt;0,((C5-B5)/640)*$B31,0)</f>
        <v>0</v>
      </c>
      <c r="D31" s="473">
        <f>IF((D5-C5)&gt;0,((D5-C5)/640)*$B31,0)</f>
        <v>0</v>
      </c>
      <c r="E31" s="473">
        <f t="shared" ref="E31:F31" si="2">IF((E5-D5)&gt;0,((E5-D5)/640)*$B31,0)</f>
        <v>0</v>
      </c>
      <c r="F31" s="473">
        <f t="shared" si="2"/>
        <v>0</v>
      </c>
      <c r="G31" s="473">
        <f>IF((G5-F5)&gt;0,((G5-F5)/640)*$B31,0)</f>
        <v>0</v>
      </c>
      <c r="I31" s="118" t="str">
        <f>'Cost Analysis Input'!I29</f>
        <v>Tillage</v>
      </c>
      <c r="J31" s="469"/>
      <c r="K31" s="469"/>
      <c r="L31" s="469"/>
      <c r="M31" s="469"/>
      <c r="N31" s="469"/>
      <c r="O31" s="469"/>
    </row>
    <row r="32" spans="1:15" ht="32.25" customHeight="1" thickBot="1" x14ac:dyDescent="0.3">
      <c r="A32" s="370" t="s">
        <v>652</v>
      </c>
      <c r="B32" s="470">
        <f>'Cost Analysis Input'!S4</f>
        <v>0.32828806064434624</v>
      </c>
      <c r="C32" s="473">
        <f t="shared" ref="C32:G32" si="3">IF((C6-B6)&gt;0,((C6-B6)/640)*$B32,0)</f>
        <v>0</v>
      </c>
      <c r="D32" s="473">
        <f t="shared" si="3"/>
        <v>0</v>
      </c>
      <c r="E32" s="473">
        <f t="shared" si="3"/>
        <v>0</v>
      </c>
      <c r="F32" s="473">
        <f t="shared" si="3"/>
        <v>0</v>
      </c>
      <c r="G32" s="473">
        <f t="shared" si="3"/>
        <v>0</v>
      </c>
      <c r="I32" s="118" t="str">
        <f>'Cost Analysis Input'!I30</f>
        <v>Till-Brine</v>
      </c>
      <c r="J32" s="469"/>
      <c r="K32" s="469"/>
      <c r="L32" s="469"/>
      <c r="M32" s="469"/>
      <c r="N32" s="469"/>
      <c r="O32" s="469"/>
    </row>
    <row r="33" spans="2:15" ht="32.25" customHeight="1" thickBot="1" x14ac:dyDescent="0.3">
      <c r="B33"/>
      <c r="C33"/>
      <c r="D33"/>
      <c r="E33"/>
      <c r="F33"/>
      <c r="G33"/>
      <c r="I33" s="118" t="str">
        <f>'Cost Analysis Input'!I31</f>
        <v>Veg 08</v>
      </c>
      <c r="J33" s="469"/>
      <c r="K33" s="469"/>
      <c r="L33" s="469"/>
      <c r="M33" s="469"/>
      <c r="N33" s="469"/>
      <c r="O33" s="469"/>
    </row>
    <row r="34" spans="2:15" ht="33" customHeight="1" thickBot="1" x14ac:dyDescent="0.3">
      <c r="B34"/>
      <c r="C34"/>
      <c r="D34"/>
      <c r="E34"/>
      <c r="F34"/>
      <c r="G34"/>
      <c r="I34" s="118" t="str">
        <f>'Cost Analysis Input'!I32</f>
        <v>Veg 11</v>
      </c>
      <c r="J34" s="469"/>
      <c r="K34" s="469"/>
      <c r="L34" s="469"/>
      <c r="M34" s="469"/>
      <c r="N34" s="469"/>
      <c r="O34" s="469"/>
    </row>
    <row r="35" spans="2:15" ht="33" customHeight="1" thickBot="1" x14ac:dyDescent="0.3">
      <c r="B35"/>
      <c r="C35"/>
      <c r="D35"/>
      <c r="E35"/>
      <c r="F35"/>
      <c r="G35"/>
      <c r="I35" s="118" t="s">
        <v>40</v>
      </c>
      <c r="J35" s="469"/>
      <c r="K35" s="469"/>
      <c r="L35" s="469"/>
      <c r="M35" s="469"/>
      <c r="N35" s="469"/>
      <c r="O35" s="469"/>
    </row>
    <row r="36" spans="2:15" ht="33" customHeight="1" x14ac:dyDescent="0.25">
      <c r="B36"/>
      <c r="C36"/>
      <c r="D36"/>
      <c r="E36"/>
      <c r="F36"/>
      <c r="G36"/>
    </row>
    <row r="37" spans="2:15" ht="33" customHeight="1" x14ac:dyDescent="0.25">
      <c r="B37"/>
      <c r="C37"/>
      <c r="D37"/>
      <c r="E37"/>
      <c r="F37"/>
      <c r="G37"/>
    </row>
    <row r="38" spans="2:15" ht="33" customHeight="1" x14ac:dyDescent="0.25">
      <c r="B38"/>
      <c r="C38"/>
      <c r="D38"/>
      <c r="E38"/>
      <c r="F38"/>
      <c r="G38"/>
    </row>
    <row r="39" spans="2:15" ht="33" customHeight="1" x14ac:dyDescent="0.25">
      <c r="B39"/>
      <c r="C39"/>
      <c r="D39"/>
      <c r="E39"/>
      <c r="F39"/>
      <c r="G39"/>
    </row>
    <row r="40" spans="2:15" ht="33" customHeight="1" x14ac:dyDescent="0.25">
      <c r="B40"/>
      <c r="C40"/>
      <c r="D40"/>
      <c r="E40"/>
      <c r="F40"/>
      <c r="G40"/>
    </row>
    <row r="41" spans="2:15" ht="33" customHeight="1" x14ac:dyDescent="0.25">
      <c r="B41"/>
      <c r="C41"/>
      <c r="D41"/>
      <c r="E41"/>
      <c r="F41"/>
      <c r="G41"/>
    </row>
    <row r="42" spans="2:15" ht="33" customHeight="1" x14ac:dyDescent="0.25">
      <c r="B42"/>
      <c r="C42"/>
      <c r="D42"/>
      <c r="E42"/>
      <c r="F42"/>
      <c r="G42"/>
    </row>
    <row r="43" spans="2:15" ht="36.75" customHeight="1" x14ac:dyDescent="0.25">
      <c r="B43"/>
      <c r="C43"/>
      <c r="D43"/>
      <c r="E43"/>
      <c r="F43"/>
      <c r="G43"/>
    </row>
    <row r="44" spans="2:15" ht="36.75" customHeight="1" x14ac:dyDescent="0.25">
      <c r="B44"/>
      <c r="C44"/>
      <c r="D44"/>
      <c r="E44"/>
      <c r="F44"/>
      <c r="G44"/>
    </row>
    <row r="45" spans="2:15" ht="36.75" customHeight="1" x14ac:dyDescent="0.25">
      <c r="B45"/>
      <c r="C45"/>
      <c r="D45"/>
      <c r="E45"/>
      <c r="F45"/>
      <c r="G45"/>
    </row>
    <row r="46" spans="2:15" ht="36.75" customHeight="1" x14ac:dyDescent="0.25">
      <c r="B46"/>
      <c r="C46"/>
      <c r="D46"/>
      <c r="E46"/>
      <c r="F46"/>
      <c r="G46"/>
    </row>
    <row r="47" spans="2:15" ht="36.75" customHeight="1" x14ac:dyDescent="0.25">
      <c r="B47"/>
      <c r="C47"/>
      <c r="D47"/>
      <c r="E47"/>
      <c r="F47"/>
      <c r="G47"/>
    </row>
    <row r="48" spans="2:15" ht="36.75" customHeight="1" x14ac:dyDescent="0.25">
      <c r="B48"/>
      <c r="C48"/>
      <c r="D48"/>
      <c r="E48"/>
      <c r="F48"/>
      <c r="G48"/>
    </row>
    <row r="49" spans="2:7" ht="36.75" customHeight="1" x14ac:dyDescent="0.25">
      <c r="B49"/>
      <c r="C49"/>
      <c r="D49"/>
      <c r="E49"/>
      <c r="F49"/>
      <c r="G49"/>
    </row>
    <row r="50" spans="2:7" ht="36.75" customHeight="1" x14ac:dyDescent="0.25">
      <c r="B50"/>
      <c r="C50"/>
      <c r="D50"/>
      <c r="E50"/>
      <c r="F50"/>
      <c r="G50"/>
    </row>
    <row r="51" spans="2:7" ht="36.75" customHeight="1" x14ac:dyDescent="0.25">
      <c r="B51"/>
      <c r="C51"/>
      <c r="D51"/>
      <c r="E51"/>
      <c r="F51"/>
      <c r="G51"/>
    </row>
    <row r="52" spans="2:7" ht="36.75" customHeight="1" x14ac:dyDescent="0.25">
      <c r="B52"/>
      <c r="C52"/>
      <c r="D52"/>
      <c r="E52"/>
      <c r="F52"/>
      <c r="G52"/>
    </row>
    <row r="53" spans="2:7" ht="36.75" customHeight="1" x14ac:dyDescent="0.25">
      <c r="B53"/>
      <c r="C53"/>
      <c r="D53"/>
      <c r="E53"/>
      <c r="F53"/>
      <c r="G53"/>
    </row>
    <row r="54" spans="2:7" ht="36.75" customHeight="1" x14ac:dyDescent="0.25">
      <c r="B54"/>
      <c r="C54"/>
      <c r="D54"/>
      <c r="E54"/>
      <c r="F54"/>
      <c r="G54"/>
    </row>
    <row r="55" spans="2:7" x14ac:dyDescent="0.25">
      <c r="B55"/>
      <c r="C55"/>
      <c r="D55"/>
      <c r="E55"/>
      <c r="F55"/>
      <c r="G55"/>
    </row>
    <row r="56" spans="2:7" x14ac:dyDescent="0.25">
      <c r="B56"/>
      <c r="C56"/>
      <c r="D56"/>
      <c r="E56"/>
      <c r="F56"/>
      <c r="G56"/>
    </row>
    <row r="57" spans="2:7" x14ac:dyDescent="0.25">
      <c r="B57"/>
      <c r="C57"/>
      <c r="D57"/>
      <c r="E57"/>
      <c r="F57"/>
      <c r="G57"/>
    </row>
    <row r="58" spans="2:7" x14ac:dyDescent="0.25">
      <c r="B58"/>
      <c r="C58"/>
      <c r="D58"/>
      <c r="E58"/>
      <c r="F58"/>
      <c r="G58"/>
    </row>
    <row r="59" spans="2:7" x14ac:dyDescent="0.25">
      <c r="B59"/>
      <c r="C59"/>
      <c r="D59"/>
      <c r="E59"/>
      <c r="F59"/>
      <c r="G59"/>
    </row>
    <row r="60" spans="2:7" x14ac:dyDescent="0.25">
      <c r="B60"/>
      <c r="C60"/>
      <c r="D60"/>
      <c r="E60"/>
      <c r="F60"/>
      <c r="G60"/>
    </row>
  </sheetData>
  <mergeCells count="17">
    <mergeCell ref="O3:O4"/>
    <mergeCell ref="E3:E4"/>
    <mergeCell ref="F3:F4"/>
    <mergeCell ref="G3:G4"/>
    <mergeCell ref="I3:I4"/>
    <mergeCell ref="J3:J4"/>
    <mergeCell ref="K3:K4"/>
    <mergeCell ref="L3:L4"/>
    <mergeCell ref="M3:M4"/>
    <mergeCell ref="N3:N4"/>
    <mergeCell ref="A29:G29"/>
    <mergeCell ref="D3:D4"/>
    <mergeCell ref="A3:A4"/>
    <mergeCell ref="B3:B4"/>
    <mergeCell ref="C3:C4"/>
    <mergeCell ref="A28:B28"/>
    <mergeCell ref="A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topLeftCell="A4" workbookViewId="0">
      <selection activeCell="J13" sqref="J13"/>
    </sheetView>
  </sheetViews>
  <sheetFormatPr defaultRowHeight="15" x14ac:dyDescent="0.25"/>
  <cols>
    <col min="1" max="1" width="22.85546875" style="136" customWidth="1"/>
    <col min="2" max="3" width="10.42578125" style="136" customWidth="1"/>
  </cols>
  <sheetData>
    <row r="1" spans="1:5" x14ac:dyDescent="0.25">
      <c r="A1" s="379" t="s">
        <v>480</v>
      </c>
      <c r="B1" s="379"/>
      <c r="C1" s="379"/>
      <c r="D1" s="379"/>
      <c r="E1" s="379"/>
    </row>
    <row r="3" spans="1:5" x14ac:dyDescent="0.25">
      <c r="A3" s="617" t="s">
        <v>478</v>
      </c>
      <c r="B3" s="618"/>
    </row>
    <row r="4" spans="1:5" x14ac:dyDescent="0.25">
      <c r="A4" s="380" t="s">
        <v>481</v>
      </c>
      <c r="B4" s="381">
        <v>3</v>
      </c>
      <c r="C4" s="136" t="s">
        <v>482</v>
      </c>
    </row>
    <row r="5" spans="1:5" x14ac:dyDescent="0.25">
      <c r="A5" s="380" t="s">
        <v>484</v>
      </c>
      <c r="B5" s="381">
        <v>3</v>
      </c>
      <c r="C5" s="136" t="s">
        <v>482</v>
      </c>
    </row>
    <row r="7" spans="1:5" x14ac:dyDescent="0.25">
      <c r="A7" s="617" t="s">
        <v>486</v>
      </c>
      <c r="B7" s="618"/>
      <c r="C7" s="388" t="s">
        <v>487</v>
      </c>
    </row>
    <row r="8" spans="1:5" x14ac:dyDescent="0.25">
      <c r="A8" s="380" t="s">
        <v>126</v>
      </c>
      <c r="B8" s="381">
        <v>0.9</v>
      </c>
      <c r="C8" s="389" t="s">
        <v>630</v>
      </c>
    </row>
    <row r="9" spans="1:5" x14ac:dyDescent="0.25">
      <c r="A9" s="380" t="s">
        <v>163</v>
      </c>
      <c r="B9" s="381">
        <v>0.9</v>
      </c>
      <c r="C9" s="389" t="s">
        <v>631</v>
      </c>
    </row>
    <row r="10" spans="1:5" x14ac:dyDescent="0.25">
      <c r="A10" s="380" t="s">
        <v>474</v>
      </c>
      <c r="B10" s="381">
        <v>0.9</v>
      </c>
      <c r="C10" s="389" t="s">
        <v>632</v>
      </c>
    </row>
    <row r="11" spans="1:5" x14ac:dyDescent="0.25">
      <c r="A11" s="380" t="s">
        <v>156</v>
      </c>
      <c r="B11" s="381">
        <v>0.9</v>
      </c>
      <c r="C11" s="389" t="s">
        <v>633</v>
      </c>
    </row>
    <row r="12" spans="1:5" x14ac:dyDescent="0.25">
      <c r="A12" s="380" t="s">
        <v>154</v>
      </c>
      <c r="B12" s="381">
        <v>0.9</v>
      </c>
      <c r="C12" s="136" t="s">
        <v>634</v>
      </c>
    </row>
    <row r="14" spans="1:5" x14ac:dyDescent="0.25">
      <c r="A14" s="398" t="s">
        <v>489</v>
      </c>
    </row>
    <row r="15" spans="1:5" x14ac:dyDescent="0.25">
      <c r="A15" s="399" t="s">
        <v>181</v>
      </c>
    </row>
    <row r="16" spans="1:5" x14ac:dyDescent="0.25">
      <c r="A16" s="399" t="s">
        <v>479</v>
      </c>
    </row>
    <row r="17" spans="1:3" x14ac:dyDescent="0.25">
      <c r="A17" s="399" t="s">
        <v>479</v>
      </c>
    </row>
    <row r="18" spans="1:3" x14ac:dyDescent="0.25">
      <c r="A18" s="399" t="s">
        <v>479</v>
      </c>
    </row>
    <row r="19" spans="1:3" x14ac:dyDescent="0.25">
      <c r="A19" s="399" t="s">
        <v>479</v>
      </c>
    </row>
    <row r="20" spans="1:3" x14ac:dyDescent="0.25">
      <c r="A20" s="399" t="s">
        <v>479</v>
      </c>
      <c r="B20" s="402"/>
      <c r="C20" s="402"/>
    </row>
    <row r="21" spans="1:3" ht="15.75" x14ac:dyDescent="0.25">
      <c r="A21" s="399" t="s">
        <v>479</v>
      </c>
      <c r="B21" s="401"/>
      <c r="C21" s="401"/>
    </row>
    <row r="23" spans="1:3" x14ac:dyDescent="0.25">
      <c r="A23" s="619" t="s">
        <v>496</v>
      </c>
      <c r="B23" s="618"/>
      <c r="C23" t="s">
        <v>497</v>
      </c>
    </row>
    <row r="24" spans="1:3" x14ac:dyDescent="0.25">
      <c r="A24" s="414" t="s">
        <v>181</v>
      </c>
      <c r="B24" s="134" t="s">
        <v>498</v>
      </c>
      <c r="C24" t="s">
        <v>499</v>
      </c>
    </row>
    <row r="25" spans="1:3" x14ac:dyDescent="0.25">
      <c r="A25" s="414" t="s">
        <v>133</v>
      </c>
      <c r="B25" s="134" t="s">
        <v>500</v>
      </c>
      <c r="C25" t="s">
        <v>501</v>
      </c>
    </row>
    <row r="26" spans="1:3" x14ac:dyDescent="0.25">
      <c r="A26" s="414" t="s">
        <v>122</v>
      </c>
      <c r="B26" s="134" t="s">
        <v>502</v>
      </c>
      <c r="C26" t="s">
        <v>503</v>
      </c>
    </row>
    <row r="27" spans="1:3" x14ac:dyDescent="0.25">
      <c r="A27" s="414" t="s">
        <v>183</v>
      </c>
      <c r="B27" s="134" t="s">
        <v>504</v>
      </c>
      <c r="C27" t="s">
        <v>638</v>
      </c>
    </row>
  </sheetData>
  <mergeCells count="3">
    <mergeCell ref="A3:B3"/>
    <mergeCell ref="A7:B7"/>
    <mergeCell ref="A23:B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Q166"/>
  <sheetViews>
    <sheetView tabSelected="1" zoomScale="70" zoomScaleNormal="70" workbookViewId="0">
      <selection activeCell="Q23" sqref="Q23"/>
    </sheetView>
  </sheetViews>
  <sheetFormatPr defaultRowHeight="15" x14ac:dyDescent="0.25"/>
  <cols>
    <col min="1" max="1" width="27.28515625" customWidth="1"/>
    <col min="2" max="14" width="13.28515625" customWidth="1"/>
    <col min="16" max="16" width="24.42578125" customWidth="1"/>
  </cols>
  <sheetData>
    <row r="1" spans="1:37" x14ac:dyDescent="0.25">
      <c r="A1" s="518" t="s">
        <v>637</v>
      </c>
      <c r="Q1" s="466"/>
      <c r="AK1" t="s">
        <v>640</v>
      </c>
    </row>
    <row r="2" spans="1:37" x14ac:dyDescent="0.25">
      <c r="A2" s="466" t="s">
        <v>569</v>
      </c>
      <c r="L2" s="464"/>
      <c r="Q2" s="466"/>
      <c r="AF2" s="464"/>
      <c r="AG2" s="464"/>
      <c r="AK2" t="str">
        <f>'Generic HV &amp; WD'!A4</f>
        <v>SFP</v>
      </c>
    </row>
    <row r="3" spans="1:37" x14ac:dyDescent="0.25">
      <c r="A3" s="466" t="s">
        <v>557</v>
      </c>
      <c r="L3" s="464"/>
      <c r="AF3" s="464"/>
      <c r="AG3" s="464"/>
      <c r="AK3" t="str">
        <f>'Generic HV &amp; WD'!A5</f>
        <v>Veg 08</v>
      </c>
    </row>
    <row r="4" spans="1:37" x14ac:dyDescent="0.25">
      <c r="A4" s="466" t="s">
        <v>635</v>
      </c>
      <c r="L4" s="464"/>
      <c r="Q4" s="466"/>
      <c r="AF4" s="464"/>
      <c r="AG4" s="464"/>
      <c r="AK4" t="str">
        <f>'Generic HV &amp; WD'!A6</f>
        <v>Veg 11</v>
      </c>
    </row>
    <row r="5" spans="1:37" x14ac:dyDescent="0.25">
      <c r="A5" t="s">
        <v>568</v>
      </c>
      <c r="C5" s="466"/>
      <c r="D5" s="466"/>
      <c r="E5" s="466"/>
      <c r="L5" s="464"/>
      <c r="AF5" s="464"/>
      <c r="AG5" s="464"/>
      <c r="AK5" t="str">
        <f>'Generic HV &amp; WD'!A7</f>
        <v>ENV</v>
      </c>
    </row>
    <row r="6" spans="1:37" x14ac:dyDescent="0.25">
      <c r="A6" s="466" t="s">
        <v>642</v>
      </c>
      <c r="C6" s="466"/>
      <c r="D6" s="466"/>
      <c r="L6" s="464"/>
      <c r="AF6" s="464"/>
      <c r="AG6" s="464"/>
      <c r="AK6" t="str">
        <f>'Generic HV &amp; WD'!A8</f>
        <v>SFL</v>
      </c>
    </row>
    <row r="7" spans="1:37" x14ac:dyDescent="0.25">
      <c r="A7" s="466" t="s">
        <v>647</v>
      </c>
      <c r="C7" s="466"/>
      <c r="D7" s="466"/>
      <c r="L7" s="464"/>
      <c r="AF7" s="464"/>
      <c r="AG7" s="464"/>
      <c r="AK7" t="str">
        <f>'Generic HV &amp; WD'!A9</f>
        <v>DWM_Jan</v>
      </c>
    </row>
    <row r="8" spans="1:37" x14ac:dyDescent="0.25">
      <c r="A8" s="466" t="s">
        <v>648</v>
      </c>
      <c r="C8" s="466"/>
      <c r="D8" s="466"/>
      <c r="L8" s="464"/>
      <c r="AF8" s="464"/>
      <c r="AG8" s="464"/>
      <c r="AK8" t="str">
        <f>'Generic HV &amp; WD'!A10</f>
        <v>DWM_Oct</v>
      </c>
    </row>
    <row r="9" spans="1:37" x14ac:dyDescent="0.25">
      <c r="A9" s="466"/>
      <c r="C9" s="466"/>
      <c r="D9" s="466"/>
      <c r="L9" s="464"/>
      <c r="AF9" s="464"/>
      <c r="AG9" s="464"/>
      <c r="AK9" t="str">
        <f>'Generic HV &amp; WD'!A11</f>
        <v>DWM_Dec</v>
      </c>
    </row>
    <row r="10" spans="1:37" x14ac:dyDescent="0.25">
      <c r="A10" s="466"/>
      <c r="C10" s="466"/>
      <c r="D10" s="466"/>
      <c r="L10" s="464"/>
      <c r="AF10" s="464"/>
      <c r="AG10" s="464"/>
      <c r="AK10" t="str">
        <f>'Generic HV &amp; WD'!A12</f>
        <v>BWF</v>
      </c>
    </row>
    <row r="11" spans="1:37" x14ac:dyDescent="0.25">
      <c r="C11" s="466"/>
      <c r="D11" s="466"/>
      <c r="E11" s="466"/>
      <c r="F11" s="466"/>
      <c r="L11" s="464"/>
      <c r="AF11" s="464"/>
      <c r="AG11" s="464"/>
      <c r="AK11" t="str">
        <f>'Generic HV &amp; WD'!A13</f>
        <v>MWF</v>
      </c>
    </row>
    <row r="12" spans="1:37" x14ac:dyDescent="0.25">
      <c r="A12" s="520" t="s">
        <v>639</v>
      </c>
      <c r="B12" s="520" t="s">
        <v>643</v>
      </c>
      <c r="P12" s="520" t="s">
        <v>641</v>
      </c>
      <c r="AK12" t="str">
        <f>'Generic HV &amp; WD'!A14</f>
        <v>SNPL_realistic</v>
      </c>
    </row>
    <row r="13" spans="1:37" s="466" customFormat="1" x14ac:dyDescent="0.25">
      <c r="A13" s="465" t="s">
        <v>197</v>
      </c>
      <c r="B13" s="465" t="s">
        <v>133</v>
      </c>
      <c r="C13" s="465" t="s">
        <v>181</v>
      </c>
      <c r="D13" s="465" t="s">
        <v>185</v>
      </c>
      <c r="E13" s="465" t="s">
        <v>188</v>
      </c>
      <c r="F13" s="465" t="s">
        <v>171</v>
      </c>
      <c r="G13" s="465"/>
      <c r="H13" s="465"/>
      <c r="I13" s="465"/>
      <c r="J13" s="465"/>
      <c r="K13" s="465"/>
      <c r="L13" s="465"/>
      <c r="M13" s="465"/>
      <c r="N13" s="465"/>
      <c r="P13" s="475" t="s">
        <v>580</v>
      </c>
      <c r="Q13" s="466" t="s">
        <v>617</v>
      </c>
      <c r="R13"/>
      <c r="S13"/>
      <c r="T13"/>
      <c r="U13"/>
      <c r="V13"/>
      <c r="W13"/>
      <c r="X13"/>
      <c r="Y13"/>
      <c r="Z13"/>
      <c r="AA13"/>
      <c r="AF13"/>
      <c r="AG13"/>
      <c r="AK13" t="str">
        <f>'Generic HV &amp; WD'!A15</f>
        <v>SNPL_with gravel</v>
      </c>
    </row>
    <row r="14" spans="1:37" s="466" customFormat="1" x14ac:dyDescent="0.25">
      <c r="A14" s="465" t="s">
        <v>339</v>
      </c>
      <c r="B14" s="465" t="s">
        <v>185</v>
      </c>
      <c r="C14" s="465" t="s">
        <v>188</v>
      </c>
      <c r="D14" s="465" t="s">
        <v>133</v>
      </c>
      <c r="E14" s="465" t="s">
        <v>171</v>
      </c>
      <c r="F14" s="465" t="s">
        <v>181</v>
      </c>
      <c r="G14" s="465" t="s">
        <v>122</v>
      </c>
      <c r="H14" s="465"/>
      <c r="I14" s="465"/>
      <c r="J14" s="465"/>
      <c r="K14" s="465"/>
      <c r="L14" s="465"/>
      <c r="M14" s="465"/>
      <c r="N14" s="465"/>
      <c r="P14" s="475" t="s">
        <v>584</v>
      </c>
      <c r="Q14" s="466" t="s">
        <v>618</v>
      </c>
      <c r="R14"/>
      <c r="S14"/>
      <c r="T14"/>
      <c r="U14"/>
      <c r="V14"/>
      <c r="W14"/>
      <c r="X14"/>
      <c r="Y14"/>
      <c r="Z14"/>
      <c r="AA14"/>
      <c r="AF14"/>
      <c r="AG14"/>
      <c r="AK14" t="str">
        <f>'Generic HV &amp; WD'!A16</f>
        <v>MSB</v>
      </c>
    </row>
    <row r="15" spans="1:37" s="466" customFormat="1" x14ac:dyDescent="0.25">
      <c r="A15" s="465" t="s">
        <v>198</v>
      </c>
      <c r="B15" s="465" t="s">
        <v>185</v>
      </c>
      <c r="C15" s="465" t="s">
        <v>188</v>
      </c>
      <c r="D15" s="465"/>
      <c r="E15" s="465"/>
      <c r="F15" s="465"/>
      <c r="G15" s="465"/>
      <c r="H15" s="465"/>
      <c r="I15" s="465"/>
      <c r="J15" s="465"/>
      <c r="K15" s="465"/>
      <c r="L15" s="465"/>
      <c r="M15" s="465"/>
      <c r="N15" s="465"/>
      <c r="P15" s="475" t="s">
        <v>581</v>
      </c>
      <c r="Q15" s="466" t="s">
        <v>615</v>
      </c>
      <c r="R15"/>
      <c r="S15"/>
      <c r="T15"/>
      <c r="U15"/>
      <c r="V15"/>
      <c r="W15"/>
      <c r="X15"/>
      <c r="Y15"/>
      <c r="Z15"/>
      <c r="AA15"/>
      <c r="AF15"/>
      <c r="AG15"/>
      <c r="AK15" t="str">
        <f>'Generic HV &amp; WD'!A17</f>
        <v>Meadow</v>
      </c>
    </row>
    <row r="16" spans="1:37" s="466" customFormat="1" x14ac:dyDescent="0.25">
      <c r="A16" s="465" t="s">
        <v>199</v>
      </c>
      <c r="B16" s="465" t="s">
        <v>185</v>
      </c>
      <c r="C16" s="465" t="s">
        <v>188</v>
      </c>
      <c r="D16" s="465"/>
      <c r="E16" s="465"/>
      <c r="F16" s="465"/>
      <c r="G16" s="465"/>
      <c r="H16" s="465"/>
      <c r="I16" s="465"/>
      <c r="J16" s="465"/>
      <c r="K16" s="465"/>
      <c r="L16" s="465"/>
      <c r="M16" s="465"/>
      <c r="N16" s="465"/>
      <c r="R16"/>
      <c r="S16"/>
      <c r="T16"/>
      <c r="U16"/>
      <c r="V16"/>
      <c r="W16"/>
      <c r="X16"/>
      <c r="Y16"/>
      <c r="Z16"/>
      <c r="AA16"/>
      <c r="AF16"/>
      <c r="AG16"/>
      <c r="AK16" t="str">
        <f>'Generic HV &amp; WD'!A18</f>
        <v>MWF and MSB</v>
      </c>
    </row>
    <row r="17" spans="1:37" s="466" customFormat="1" x14ac:dyDescent="0.25">
      <c r="A17" s="465" t="s">
        <v>200</v>
      </c>
      <c r="B17" s="465" t="s">
        <v>185</v>
      </c>
      <c r="C17" s="465" t="s">
        <v>188</v>
      </c>
      <c r="D17" s="465"/>
      <c r="E17" s="465"/>
      <c r="F17" s="465"/>
      <c r="G17" s="465"/>
      <c r="H17" s="465"/>
      <c r="I17" s="465"/>
      <c r="J17" s="465"/>
      <c r="K17" s="465"/>
      <c r="L17" s="465"/>
      <c r="M17" s="465"/>
      <c r="N17" s="465"/>
      <c r="P17" s="475" t="s">
        <v>582</v>
      </c>
      <c r="Q17" s="466" t="s">
        <v>615</v>
      </c>
      <c r="R17"/>
      <c r="S17"/>
      <c r="T17"/>
      <c r="U17"/>
      <c r="V17"/>
      <c r="W17"/>
      <c r="X17"/>
      <c r="Y17"/>
      <c r="Z17"/>
      <c r="AA17"/>
      <c r="AF17"/>
      <c r="AG17"/>
      <c r="AK17" t="str">
        <f>'Generic HV &amp; WD'!A19</f>
        <v>MSB and SNPL</v>
      </c>
    </row>
    <row r="18" spans="1:37" s="466" customFormat="1" x14ac:dyDescent="0.25">
      <c r="A18" s="465" t="s">
        <v>201</v>
      </c>
      <c r="B18" s="465" t="s">
        <v>185</v>
      </c>
      <c r="C18" s="465" t="s">
        <v>188</v>
      </c>
      <c r="D18" s="465"/>
      <c r="E18" s="465"/>
      <c r="F18" s="465"/>
      <c r="G18" s="465"/>
      <c r="H18" s="465"/>
      <c r="I18" s="465"/>
      <c r="J18" s="465"/>
      <c r="K18" s="465"/>
      <c r="L18" s="465"/>
      <c r="M18" s="465"/>
      <c r="N18" s="465"/>
      <c r="P18" s="475" t="s">
        <v>583</v>
      </c>
      <c r="Q18" s="466" t="s">
        <v>615</v>
      </c>
      <c r="R18"/>
      <c r="S18"/>
      <c r="T18"/>
      <c r="U18"/>
      <c r="V18"/>
      <c r="W18"/>
      <c r="X18"/>
      <c r="Y18"/>
      <c r="Z18"/>
      <c r="AA18"/>
      <c r="AF18"/>
      <c r="AG18"/>
      <c r="AK18" t="str">
        <f>'Generic HV &amp; WD'!A20</f>
        <v>MSB and SNPL_gravel</v>
      </c>
    </row>
    <row r="19" spans="1:37" s="466" customFormat="1" x14ac:dyDescent="0.25">
      <c r="A19" s="465" t="s">
        <v>202</v>
      </c>
      <c r="B19" s="465" t="s">
        <v>185</v>
      </c>
      <c r="C19" s="465" t="s">
        <v>188</v>
      </c>
      <c r="D19" s="465"/>
      <c r="E19" s="465"/>
      <c r="F19" s="465"/>
      <c r="G19" s="465"/>
      <c r="H19" s="465"/>
      <c r="I19" s="465"/>
      <c r="J19" s="465"/>
      <c r="K19" s="465"/>
      <c r="L19" s="465"/>
      <c r="M19" s="465"/>
      <c r="N19" s="465"/>
      <c r="P19" s="475" t="s">
        <v>202</v>
      </c>
      <c r="Q19" s="466" t="s">
        <v>615</v>
      </c>
      <c r="R19"/>
      <c r="S19"/>
      <c r="T19"/>
      <c r="U19"/>
      <c r="V19"/>
      <c r="W19"/>
      <c r="X19"/>
      <c r="Y19"/>
      <c r="Z19"/>
      <c r="AA19"/>
      <c r="AF19"/>
      <c r="AG19"/>
      <c r="AK19" t="str">
        <f>'Generic HV &amp; WD'!A21</f>
        <v>MSB and SNPL_gravel_MWF</v>
      </c>
    </row>
    <row r="20" spans="1:37" s="466" customFormat="1" x14ac:dyDescent="0.25">
      <c r="A20" s="465" t="s">
        <v>207</v>
      </c>
      <c r="B20" s="465" t="s">
        <v>133</v>
      </c>
      <c r="C20" s="465" t="s">
        <v>181</v>
      </c>
      <c r="D20" s="465" t="s">
        <v>171</v>
      </c>
      <c r="E20" s="465" t="s">
        <v>122</v>
      </c>
      <c r="H20" s="465"/>
      <c r="I20" s="465"/>
      <c r="J20" s="465"/>
      <c r="K20" s="465"/>
      <c r="L20" s="465"/>
      <c r="M20" s="465"/>
      <c r="N20" s="465"/>
      <c r="P20" s="475" t="s">
        <v>587</v>
      </c>
      <c r="Q20" s="466" t="s">
        <v>619</v>
      </c>
      <c r="R20"/>
      <c r="S20"/>
      <c r="T20"/>
      <c r="U20"/>
      <c r="V20"/>
      <c r="W20"/>
      <c r="X20"/>
      <c r="Y20"/>
      <c r="Z20"/>
      <c r="AA20"/>
      <c r="AF20"/>
      <c r="AG20"/>
      <c r="AK20" t="str">
        <f>'Generic HV &amp; WD'!A22</f>
        <v>MWF and SNPL</v>
      </c>
    </row>
    <row r="21" spans="1:37" s="466" customFormat="1" x14ac:dyDescent="0.25">
      <c r="A21" s="465" t="s">
        <v>205</v>
      </c>
      <c r="B21" s="465" t="s">
        <v>133</v>
      </c>
      <c r="C21" s="465" t="s">
        <v>181</v>
      </c>
      <c r="D21" s="465"/>
      <c r="E21" s="465"/>
      <c r="F21" s="465"/>
      <c r="G21" s="465"/>
      <c r="H21" s="465"/>
      <c r="I21" s="465"/>
      <c r="J21" s="465"/>
      <c r="K21" s="465"/>
      <c r="L21" s="465"/>
      <c r="M21" s="465"/>
      <c r="N21" s="465"/>
      <c r="P21" s="475" t="s">
        <v>585</v>
      </c>
      <c r="Q21" s="466" t="s">
        <v>655</v>
      </c>
      <c r="R21"/>
      <c r="S21"/>
      <c r="T21"/>
      <c r="U21"/>
      <c r="V21"/>
      <c r="W21"/>
      <c r="X21"/>
      <c r="Y21"/>
      <c r="Z21"/>
      <c r="AA21"/>
      <c r="AF21"/>
      <c r="AG21"/>
      <c r="AK21" t="str">
        <f>'Generic HV &amp; WD'!A23</f>
        <v>MWF and SNPL_with gravel</v>
      </c>
    </row>
    <row r="22" spans="1:37" s="466" customFormat="1" x14ac:dyDescent="0.25">
      <c r="A22" s="465" t="s">
        <v>206</v>
      </c>
      <c r="B22" s="465" t="s">
        <v>133</v>
      </c>
      <c r="C22" s="465" t="s">
        <v>181</v>
      </c>
      <c r="D22" s="465"/>
      <c r="E22" s="465"/>
      <c r="F22" s="465"/>
      <c r="G22" s="465"/>
      <c r="H22" s="465"/>
      <c r="I22" s="465"/>
      <c r="J22" s="465"/>
      <c r="K22" s="465"/>
      <c r="L22" s="465"/>
      <c r="M22" s="465"/>
      <c r="N22" s="465"/>
      <c r="P22" s="475" t="s">
        <v>586</v>
      </c>
      <c r="Q22" s="466" t="s">
        <v>655</v>
      </c>
      <c r="R22"/>
      <c r="S22"/>
      <c r="T22"/>
      <c r="U22"/>
      <c r="V22"/>
      <c r="W22"/>
      <c r="X22"/>
      <c r="Y22"/>
      <c r="Z22"/>
      <c r="AA22"/>
      <c r="AF22"/>
      <c r="AG22"/>
      <c r="AK22" t="str">
        <f>'Generic HV &amp; WD'!A24</f>
        <v>DWM_Dust Control</v>
      </c>
    </row>
    <row r="23" spans="1:37" s="466" customFormat="1" x14ac:dyDescent="0.25">
      <c r="A23" s="465" t="s">
        <v>211</v>
      </c>
      <c r="B23" s="465" t="s">
        <v>185</v>
      </c>
      <c r="C23" s="465" t="s">
        <v>188</v>
      </c>
      <c r="D23" s="465"/>
      <c r="E23" s="465"/>
      <c r="F23" s="465"/>
      <c r="G23" s="465"/>
      <c r="H23" s="465"/>
      <c r="I23" s="465"/>
      <c r="J23" s="465"/>
      <c r="K23" s="465"/>
      <c r="L23" s="465"/>
      <c r="M23" s="465"/>
      <c r="N23" s="465"/>
      <c r="P23" s="475" t="s">
        <v>588</v>
      </c>
      <c r="Q23" s="466" t="s">
        <v>615</v>
      </c>
      <c r="R23"/>
      <c r="S23"/>
      <c r="T23"/>
      <c r="U23"/>
      <c r="V23"/>
      <c r="W23"/>
      <c r="X23"/>
      <c r="Y23"/>
      <c r="Z23"/>
      <c r="AA23"/>
      <c r="AF23"/>
      <c r="AG23"/>
      <c r="AK23" t="str">
        <f>'Generic HV &amp; WD'!A25</f>
        <v>DWM_Plovers</v>
      </c>
    </row>
    <row r="24" spans="1:37" s="466" customFormat="1" x14ac:dyDescent="0.25">
      <c r="A24" s="465" t="s">
        <v>212</v>
      </c>
      <c r="B24" s="465" t="s">
        <v>171</v>
      </c>
      <c r="C24" s="465" t="s">
        <v>133</v>
      </c>
      <c r="D24" s="465" t="s">
        <v>181</v>
      </c>
      <c r="E24" s="465" t="s">
        <v>122</v>
      </c>
      <c r="F24" s="465" t="s">
        <v>185</v>
      </c>
      <c r="G24" s="465" t="s">
        <v>188</v>
      </c>
      <c r="H24" s="465"/>
      <c r="I24" s="465"/>
      <c r="J24" s="465"/>
      <c r="K24" s="465"/>
      <c r="L24" s="465"/>
      <c r="M24" s="465"/>
      <c r="N24" s="465"/>
      <c r="P24" s="475" t="s">
        <v>589</v>
      </c>
      <c r="Q24" s="466" t="s">
        <v>646</v>
      </c>
      <c r="R24"/>
      <c r="S24"/>
      <c r="T24"/>
      <c r="U24"/>
      <c r="V24"/>
      <c r="W24"/>
      <c r="X24"/>
      <c r="Y24"/>
      <c r="Z24"/>
      <c r="AA24"/>
      <c r="AF24"/>
      <c r="AG24"/>
      <c r="AK24" t="str">
        <f>'Generic HV &amp; WD'!A26</f>
        <v>DWM_Spring_only</v>
      </c>
    </row>
    <row r="25" spans="1:37" s="466" customFormat="1" x14ac:dyDescent="0.25">
      <c r="A25" s="465" t="s">
        <v>213</v>
      </c>
      <c r="B25" s="465" t="s">
        <v>171</v>
      </c>
      <c r="C25" s="465" t="s">
        <v>133</v>
      </c>
      <c r="D25" s="465" t="s">
        <v>181</v>
      </c>
      <c r="E25" s="465" t="s">
        <v>122</v>
      </c>
      <c r="F25" s="465" t="s">
        <v>185</v>
      </c>
      <c r="G25" s="465" t="s">
        <v>188</v>
      </c>
      <c r="H25" s="465"/>
      <c r="I25" s="465"/>
      <c r="J25" s="465"/>
      <c r="K25" s="465"/>
      <c r="L25" s="465"/>
      <c r="M25" s="465"/>
      <c r="N25" s="465"/>
      <c r="P25" s="475"/>
      <c r="R25"/>
      <c r="S25"/>
      <c r="T25"/>
      <c r="U25"/>
      <c r="V25"/>
      <c r="W25"/>
      <c r="X25"/>
      <c r="Y25"/>
      <c r="Z25"/>
      <c r="AA25"/>
      <c r="AF25"/>
      <c r="AG25"/>
      <c r="AK25" t="str">
        <f>'Generic HV &amp; WD'!A27</f>
        <v>SFLS</v>
      </c>
    </row>
    <row r="26" spans="1:37" s="466" customFormat="1" x14ac:dyDescent="0.25">
      <c r="A26" s="465" t="s">
        <v>217</v>
      </c>
      <c r="B26" s="465" t="s">
        <v>185</v>
      </c>
      <c r="C26" s="465" t="s">
        <v>188</v>
      </c>
      <c r="D26" s="465" t="s">
        <v>133</v>
      </c>
      <c r="E26" s="465"/>
      <c r="F26" s="465"/>
      <c r="G26" s="465"/>
      <c r="H26" s="465"/>
      <c r="I26" s="465"/>
      <c r="J26" s="465"/>
      <c r="K26" s="465"/>
      <c r="L26" s="465"/>
      <c r="M26" s="465"/>
      <c r="N26" s="465"/>
      <c r="P26" s="475" t="s">
        <v>590</v>
      </c>
      <c r="Q26" s="466" t="s">
        <v>620</v>
      </c>
      <c r="R26"/>
      <c r="S26"/>
      <c r="T26"/>
      <c r="U26"/>
      <c r="V26"/>
      <c r="W26"/>
      <c r="X26"/>
      <c r="Y26"/>
      <c r="Z26"/>
      <c r="AA26"/>
      <c r="AF26"/>
      <c r="AG26"/>
      <c r="AK26" t="str">
        <f>'Generic HV &amp; WD'!A28</f>
        <v>Gravel</v>
      </c>
    </row>
    <row r="27" spans="1:37" s="466" customFormat="1" x14ac:dyDescent="0.25">
      <c r="A27" s="465" t="s">
        <v>221</v>
      </c>
      <c r="B27" s="465" t="s">
        <v>185</v>
      </c>
      <c r="C27" s="465" t="s">
        <v>188</v>
      </c>
      <c r="D27" s="465"/>
      <c r="E27" s="465"/>
      <c r="F27" s="465"/>
      <c r="G27" s="465"/>
      <c r="H27" s="465"/>
      <c r="I27" s="465"/>
      <c r="J27" s="465"/>
      <c r="K27" s="465"/>
      <c r="L27" s="465"/>
      <c r="M27" s="465"/>
      <c r="N27" s="465"/>
      <c r="P27" s="475" t="s">
        <v>221</v>
      </c>
      <c r="Q27" s="466" t="s">
        <v>609</v>
      </c>
      <c r="R27"/>
      <c r="S27"/>
      <c r="T27"/>
      <c r="U27"/>
      <c r="V27"/>
      <c r="W27"/>
      <c r="X27"/>
      <c r="Y27"/>
      <c r="Z27"/>
      <c r="AA27"/>
      <c r="AF27"/>
      <c r="AG27"/>
      <c r="AK27" t="str">
        <f>'Generic HV &amp; WD'!A29</f>
        <v>Tillage</v>
      </c>
    </row>
    <row r="28" spans="1:37" s="466" customFormat="1" x14ac:dyDescent="0.25">
      <c r="A28" s="465" t="s">
        <v>228</v>
      </c>
      <c r="B28" s="465" t="s">
        <v>185</v>
      </c>
      <c r="C28" s="465" t="s">
        <v>188</v>
      </c>
      <c r="D28" s="465" t="s">
        <v>181</v>
      </c>
      <c r="E28" s="465"/>
      <c r="F28" s="465"/>
      <c r="G28" s="465"/>
      <c r="H28" s="465"/>
      <c r="I28" s="465"/>
      <c r="J28" s="465"/>
      <c r="K28" s="465"/>
      <c r="L28" s="465"/>
      <c r="M28" s="465"/>
      <c r="N28" s="465"/>
      <c r="P28" s="475" t="s">
        <v>228</v>
      </c>
      <c r="Q28" s="466" t="s">
        <v>615</v>
      </c>
      <c r="R28"/>
      <c r="S28"/>
      <c r="T28"/>
      <c r="U28"/>
      <c r="V28"/>
      <c r="W28"/>
      <c r="X28"/>
      <c r="Y28"/>
      <c r="Z28"/>
      <c r="AA28"/>
      <c r="AF28"/>
      <c r="AG28"/>
      <c r="AK28" t="str">
        <f>'Generic HV &amp; WD'!A30</f>
        <v>Till-Brine</v>
      </c>
    </row>
    <row r="29" spans="1:37" s="466" customFormat="1" x14ac:dyDescent="0.25">
      <c r="A29" s="465" t="s">
        <v>229</v>
      </c>
      <c r="B29" s="465" t="s">
        <v>185</v>
      </c>
      <c r="C29" s="465" t="s">
        <v>188</v>
      </c>
      <c r="D29" s="465"/>
      <c r="E29" s="465"/>
      <c r="F29" s="465"/>
      <c r="G29" s="465"/>
      <c r="H29" s="465"/>
      <c r="I29" s="465"/>
      <c r="J29" s="465"/>
      <c r="K29" s="465"/>
      <c r="L29" s="465"/>
      <c r="M29" s="465"/>
      <c r="N29" s="465"/>
      <c r="P29" s="475" t="s">
        <v>591</v>
      </c>
      <c r="Q29" s="466" t="s">
        <v>615</v>
      </c>
      <c r="R29"/>
      <c r="S29"/>
      <c r="T29"/>
      <c r="U29"/>
      <c r="V29"/>
      <c r="W29"/>
      <c r="X29"/>
      <c r="Y29"/>
      <c r="Z29"/>
      <c r="AA29"/>
      <c r="AF29"/>
      <c r="AG29"/>
      <c r="AK29" t="str">
        <f>'Generic HV &amp; WD'!A31</f>
        <v>Sand Fences</v>
      </c>
    </row>
    <row r="30" spans="1:37" s="466" customFormat="1" x14ac:dyDescent="0.25">
      <c r="A30" s="465" t="s">
        <v>230</v>
      </c>
      <c r="B30" s="465" t="s">
        <v>185</v>
      </c>
      <c r="C30" s="465" t="s">
        <v>188</v>
      </c>
      <c r="D30" s="465"/>
      <c r="E30" s="465"/>
      <c r="F30" s="465"/>
      <c r="G30" s="465"/>
      <c r="H30" s="465"/>
      <c r="I30" s="465"/>
      <c r="J30" s="465"/>
      <c r="K30" s="465"/>
      <c r="L30" s="465"/>
      <c r="M30" s="465"/>
      <c r="N30" s="465"/>
      <c r="P30" s="475" t="s">
        <v>592</v>
      </c>
      <c r="Q30" s="466" t="s">
        <v>615</v>
      </c>
      <c r="R30"/>
      <c r="S30"/>
      <c r="T30"/>
      <c r="U30"/>
      <c r="V30"/>
      <c r="W30"/>
      <c r="X30"/>
      <c r="Y30"/>
      <c r="Z30"/>
      <c r="AA30"/>
      <c r="AF30"/>
      <c r="AG30"/>
      <c r="AK30" t="str">
        <f>'Generic HV &amp; WD'!A32</f>
        <v>Brine</v>
      </c>
    </row>
    <row r="31" spans="1:37" s="466" customFormat="1" x14ac:dyDescent="0.25">
      <c r="A31" s="465" t="s">
        <v>231</v>
      </c>
      <c r="B31" s="465" t="s">
        <v>185</v>
      </c>
      <c r="C31" s="465" t="s">
        <v>188</v>
      </c>
      <c r="D31" s="465"/>
      <c r="E31" s="465"/>
      <c r="F31" s="465"/>
      <c r="G31" s="465"/>
      <c r="H31" s="465"/>
      <c r="I31" s="465"/>
      <c r="J31" s="465"/>
      <c r="K31" s="465"/>
      <c r="L31" s="465"/>
      <c r="M31" s="465"/>
      <c r="N31" s="465"/>
      <c r="R31"/>
      <c r="S31"/>
      <c r="T31"/>
      <c r="U31"/>
      <c r="V31"/>
      <c r="W31"/>
      <c r="X31"/>
      <c r="Y31"/>
      <c r="Z31"/>
      <c r="AA31"/>
      <c r="AF31"/>
      <c r="AG31"/>
      <c r="AK31" t="str">
        <f>'Generic HV &amp; WD'!A33</f>
        <v>Breeding Waterfowl &amp; Meadow</v>
      </c>
    </row>
    <row r="32" spans="1:37" s="466" customFormat="1" x14ac:dyDescent="0.25">
      <c r="A32" s="465" t="s">
        <v>232</v>
      </c>
      <c r="B32" s="465" t="s">
        <v>185</v>
      </c>
      <c r="C32" s="465" t="s">
        <v>188</v>
      </c>
      <c r="D32" s="465"/>
      <c r="E32" s="465"/>
      <c r="F32" s="465"/>
      <c r="G32" s="465"/>
      <c r="H32" s="465"/>
      <c r="I32" s="465"/>
      <c r="J32" s="465"/>
      <c r="K32" s="465"/>
      <c r="L32" s="465"/>
      <c r="M32" s="465"/>
      <c r="N32" s="465"/>
      <c r="R32"/>
      <c r="S32"/>
      <c r="T32"/>
      <c r="U32"/>
      <c r="V32"/>
      <c r="W32"/>
      <c r="X32"/>
      <c r="Y32"/>
      <c r="Z32"/>
      <c r="AA32"/>
      <c r="AF32"/>
      <c r="AG32"/>
      <c r="AK32" t="str">
        <f>'Generic HV &amp; WD'!A34</f>
        <v>None</v>
      </c>
    </row>
    <row r="33" spans="1:37" s="466" customFormat="1" x14ac:dyDescent="0.25">
      <c r="A33" s="465" t="s">
        <v>234</v>
      </c>
      <c r="B33" s="465" t="s">
        <v>185</v>
      </c>
      <c r="C33" s="465" t="s">
        <v>188</v>
      </c>
      <c r="D33" s="465"/>
      <c r="E33" s="465"/>
      <c r="F33" s="465"/>
      <c r="G33" s="465"/>
      <c r="H33" s="465"/>
      <c r="I33" s="465"/>
      <c r="J33" s="465"/>
      <c r="K33" s="465"/>
      <c r="L33" s="465"/>
      <c r="M33" s="465"/>
      <c r="N33" s="465"/>
      <c r="P33" s="475" t="s">
        <v>572</v>
      </c>
      <c r="Q33" s="466" t="s">
        <v>609</v>
      </c>
      <c r="R33"/>
      <c r="S33"/>
      <c r="T33"/>
      <c r="U33"/>
      <c r="V33"/>
      <c r="W33"/>
      <c r="X33"/>
      <c r="Y33"/>
      <c r="Z33"/>
      <c r="AA33"/>
      <c r="AF33"/>
      <c r="AG33"/>
      <c r="AK33"/>
    </row>
    <row r="34" spans="1:37" s="466" customFormat="1" x14ac:dyDescent="0.25">
      <c r="A34" s="465" t="s">
        <v>236</v>
      </c>
      <c r="B34" s="465" t="s">
        <v>185</v>
      </c>
      <c r="C34" s="465" t="s">
        <v>188</v>
      </c>
      <c r="D34" s="465" t="s">
        <v>181</v>
      </c>
      <c r="E34" s="465"/>
      <c r="F34" s="465"/>
      <c r="G34" s="465"/>
      <c r="H34" s="465"/>
      <c r="I34" s="465"/>
      <c r="J34" s="465"/>
      <c r="K34" s="465"/>
      <c r="L34" s="465"/>
      <c r="M34" s="465"/>
      <c r="N34" s="465"/>
      <c r="P34" s="475" t="s">
        <v>236</v>
      </c>
      <c r="Q34" s="466" t="s">
        <v>629</v>
      </c>
      <c r="R34"/>
      <c r="S34"/>
      <c r="T34"/>
      <c r="U34"/>
      <c r="V34"/>
      <c r="W34"/>
      <c r="X34"/>
      <c r="Y34"/>
      <c r="Z34"/>
      <c r="AA34"/>
      <c r="AF34"/>
      <c r="AG34"/>
      <c r="AK34"/>
    </row>
    <row r="35" spans="1:37" s="466" customFormat="1" x14ac:dyDescent="0.25">
      <c r="A35" s="465" t="s">
        <v>237</v>
      </c>
      <c r="B35" s="465" t="s">
        <v>185</v>
      </c>
      <c r="C35" s="465" t="s">
        <v>188</v>
      </c>
      <c r="D35" s="465"/>
      <c r="E35" s="465"/>
      <c r="F35" s="465"/>
      <c r="G35" s="465"/>
      <c r="H35" s="465"/>
      <c r="I35" s="465"/>
      <c r="J35" s="465"/>
      <c r="K35" s="465"/>
      <c r="L35" s="465"/>
      <c r="M35" s="465"/>
      <c r="N35" s="465"/>
      <c r="P35" s="475" t="s">
        <v>237</v>
      </c>
      <c r="Q35" s="466" t="s">
        <v>615</v>
      </c>
      <c r="R35"/>
      <c r="S35"/>
      <c r="T35"/>
      <c r="U35"/>
      <c r="V35"/>
      <c r="W35"/>
      <c r="X35"/>
      <c r="Y35"/>
      <c r="Z35"/>
      <c r="AA35"/>
      <c r="AF35"/>
      <c r="AG35"/>
      <c r="AK35"/>
    </row>
    <row r="36" spans="1:37" s="466" customFormat="1" x14ac:dyDescent="0.25">
      <c r="A36" s="465" t="s">
        <v>238</v>
      </c>
      <c r="B36" s="465" t="s">
        <v>185</v>
      </c>
      <c r="C36" s="465" t="s">
        <v>188</v>
      </c>
      <c r="D36" s="465"/>
      <c r="E36" s="465"/>
      <c r="F36" s="465"/>
      <c r="G36" s="465"/>
      <c r="H36" s="465"/>
      <c r="I36" s="465"/>
      <c r="J36" s="465"/>
      <c r="K36" s="465"/>
      <c r="L36" s="465"/>
      <c r="M36" s="465"/>
      <c r="N36" s="465"/>
      <c r="P36" s="475" t="s">
        <v>593</v>
      </c>
      <c r="Q36" s="466" t="s">
        <v>615</v>
      </c>
      <c r="R36"/>
      <c r="S36"/>
      <c r="T36"/>
      <c r="U36"/>
      <c r="V36"/>
      <c r="W36"/>
      <c r="X36"/>
      <c r="Y36"/>
      <c r="Z36"/>
      <c r="AA36"/>
      <c r="AF36"/>
      <c r="AG36"/>
      <c r="AK36"/>
    </row>
    <row r="37" spans="1:37" s="466" customFormat="1" x14ac:dyDescent="0.25">
      <c r="A37" s="465" t="s">
        <v>239</v>
      </c>
      <c r="B37" s="465" t="s">
        <v>185</v>
      </c>
      <c r="C37" s="465" t="s">
        <v>188</v>
      </c>
      <c r="D37" s="465"/>
      <c r="E37" s="465"/>
      <c r="F37" s="465"/>
      <c r="G37" s="465"/>
      <c r="H37" s="465"/>
      <c r="I37" s="465"/>
      <c r="J37" s="465"/>
      <c r="K37" s="465"/>
      <c r="L37" s="465"/>
      <c r="M37" s="465"/>
      <c r="N37" s="465"/>
      <c r="R37"/>
      <c r="S37"/>
      <c r="T37"/>
      <c r="U37"/>
      <c r="V37"/>
      <c r="W37"/>
      <c r="X37"/>
      <c r="Y37"/>
      <c r="Z37"/>
      <c r="AA37"/>
      <c r="AF37"/>
      <c r="AG37"/>
      <c r="AK37"/>
    </row>
    <row r="38" spans="1:37" s="466" customFormat="1" x14ac:dyDescent="0.25">
      <c r="A38" s="465" t="s">
        <v>240</v>
      </c>
      <c r="B38" s="465" t="s">
        <v>181</v>
      </c>
      <c r="C38" s="465"/>
      <c r="D38" s="465"/>
      <c r="E38" s="465"/>
      <c r="F38" s="465"/>
      <c r="G38" s="465"/>
      <c r="H38" s="465"/>
      <c r="I38" s="465"/>
      <c r="J38" s="465"/>
      <c r="K38" s="465"/>
      <c r="L38" s="465"/>
      <c r="M38" s="465"/>
      <c r="N38" s="465"/>
      <c r="P38" s="475" t="s">
        <v>240</v>
      </c>
      <c r="Q38" s="466" t="s">
        <v>621</v>
      </c>
      <c r="R38"/>
      <c r="S38"/>
      <c r="T38"/>
      <c r="U38"/>
      <c r="V38"/>
      <c r="W38"/>
      <c r="X38"/>
      <c r="Y38"/>
      <c r="Z38"/>
      <c r="AA38"/>
      <c r="AF38"/>
      <c r="AG38"/>
      <c r="AK38"/>
    </row>
    <row r="39" spans="1:37" s="466" customFormat="1" x14ac:dyDescent="0.25">
      <c r="A39" s="465" t="s">
        <v>241</v>
      </c>
      <c r="B39" s="465" t="s">
        <v>185</v>
      </c>
      <c r="C39" s="465" t="s">
        <v>188</v>
      </c>
      <c r="D39" s="465" t="s">
        <v>171</v>
      </c>
      <c r="E39" s="465" t="s">
        <v>181</v>
      </c>
      <c r="F39" s="465" t="s">
        <v>133</v>
      </c>
      <c r="G39" s="465" t="s">
        <v>173</v>
      </c>
      <c r="H39" s="465"/>
      <c r="I39" s="465"/>
      <c r="J39" s="465"/>
      <c r="K39" s="465"/>
      <c r="L39" s="465"/>
      <c r="M39" s="465"/>
      <c r="N39" s="465"/>
      <c r="P39" s="475" t="s">
        <v>595</v>
      </c>
      <c r="Q39" s="466" t="s">
        <v>622</v>
      </c>
      <c r="R39"/>
      <c r="S39"/>
      <c r="T39"/>
      <c r="U39"/>
      <c r="V39"/>
      <c r="W39"/>
      <c r="X39"/>
      <c r="Y39"/>
      <c r="Z39"/>
      <c r="AA39"/>
      <c r="AF39"/>
      <c r="AG39"/>
      <c r="AK39"/>
    </row>
    <row r="40" spans="1:37" s="466" customFormat="1" x14ac:dyDescent="0.25">
      <c r="A40" s="465" t="s">
        <v>242</v>
      </c>
      <c r="B40" s="465" t="s">
        <v>185</v>
      </c>
      <c r="C40" s="465" t="s">
        <v>188</v>
      </c>
      <c r="D40" s="465"/>
      <c r="E40" s="465"/>
      <c r="F40" s="465"/>
      <c r="G40" s="465"/>
      <c r="H40" s="465"/>
      <c r="I40" s="465"/>
      <c r="J40" s="465"/>
      <c r="K40" s="465"/>
      <c r="L40" s="465"/>
      <c r="M40" s="465"/>
      <c r="N40" s="465"/>
      <c r="P40" s="475" t="s">
        <v>594</v>
      </c>
      <c r="Q40" s="466" t="s">
        <v>615</v>
      </c>
      <c r="R40"/>
      <c r="S40"/>
      <c r="T40"/>
      <c r="U40"/>
      <c r="V40"/>
      <c r="W40"/>
      <c r="X40"/>
      <c r="Y40"/>
      <c r="Z40"/>
      <c r="AA40"/>
      <c r="AF40"/>
      <c r="AG40"/>
      <c r="AK40"/>
    </row>
    <row r="41" spans="1:37" s="466" customFormat="1" x14ac:dyDescent="0.25">
      <c r="A41" s="465" t="s">
        <v>243</v>
      </c>
      <c r="B41" s="465" t="s">
        <v>185</v>
      </c>
      <c r="C41" s="465" t="s">
        <v>188</v>
      </c>
      <c r="D41" s="465"/>
      <c r="E41" s="465"/>
      <c r="F41" s="465"/>
      <c r="G41" s="465"/>
      <c r="H41" s="465"/>
      <c r="I41" s="465"/>
      <c r="J41" s="465"/>
      <c r="K41" s="465"/>
      <c r="L41" s="465"/>
      <c r="M41" s="465"/>
      <c r="N41" s="465"/>
      <c r="R41"/>
      <c r="S41"/>
      <c r="T41"/>
      <c r="U41"/>
      <c r="V41"/>
      <c r="W41"/>
      <c r="X41"/>
      <c r="Y41"/>
      <c r="Z41"/>
      <c r="AA41"/>
      <c r="AF41"/>
      <c r="AG41"/>
      <c r="AK41"/>
    </row>
    <row r="42" spans="1:37" s="466" customFormat="1" x14ac:dyDescent="0.25">
      <c r="A42" s="465" t="s">
        <v>244</v>
      </c>
      <c r="B42" s="465" t="s">
        <v>181</v>
      </c>
      <c r="C42" s="465"/>
      <c r="D42" s="465"/>
      <c r="E42" s="465"/>
      <c r="F42" s="465"/>
      <c r="G42" s="465"/>
      <c r="H42" s="465"/>
      <c r="I42" s="465"/>
      <c r="J42" s="465"/>
      <c r="K42" s="465"/>
      <c r="L42" s="465"/>
      <c r="M42" s="465"/>
      <c r="N42" s="465"/>
      <c r="P42" s="475" t="s">
        <v>596</v>
      </c>
      <c r="Q42" s="466" t="s">
        <v>621</v>
      </c>
      <c r="R42"/>
      <c r="S42"/>
      <c r="T42"/>
      <c r="U42"/>
      <c r="V42"/>
      <c r="W42"/>
      <c r="X42"/>
      <c r="Y42"/>
      <c r="Z42"/>
      <c r="AA42"/>
      <c r="AF42"/>
      <c r="AG42"/>
      <c r="AK42"/>
    </row>
    <row r="43" spans="1:37" s="466" customFormat="1" x14ac:dyDescent="0.25">
      <c r="A43" s="465" t="s">
        <v>245</v>
      </c>
      <c r="B43" s="465" t="s">
        <v>181</v>
      </c>
      <c r="C43" s="465"/>
      <c r="D43" s="465"/>
      <c r="E43" s="465"/>
      <c r="F43" s="465"/>
      <c r="G43" s="465"/>
      <c r="H43" s="465"/>
      <c r="I43" s="465"/>
      <c r="J43" s="465"/>
      <c r="K43" s="465"/>
      <c r="L43" s="465"/>
      <c r="M43" s="465"/>
      <c r="N43" s="465"/>
      <c r="P43" s="475" t="s">
        <v>597</v>
      </c>
      <c r="Q43" s="466" t="s">
        <v>621</v>
      </c>
      <c r="R43"/>
      <c r="S43"/>
      <c r="T43"/>
      <c r="U43"/>
      <c r="V43"/>
      <c r="W43"/>
      <c r="X43"/>
      <c r="Y43"/>
      <c r="Z43"/>
      <c r="AA43"/>
      <c r="AF43"/>
      <c r="AG43"/>
      <c r="AK43"/>
    </row>
    <row r="44" spans="1:37" s="466" customFormat="1" x14ac:dyDescent="0.25">
      <c r="A44" s="465" t="s">
        <v>246</v>
      </c>
      <c r="B44" s="465" t="s">
        <v>181</v>
      </c>
      <c r="C44" s="465"/>
      <c r="D44" s="465"/>
      <c r="E44" s="465"/>
      <c r="F44" s="465"/>
      <c r="G44" s="465"/>
      <c r="H44" s="465"/>
      <c r="I44" s="465"/>
      <c r="J44" s="465"/>
      <c r="K44" s="465"/>
      <c r="L44" s="465"/>
      <c r="M44" s="465"/>
      <c r="N44" s="465"/>
      <c r="P44" s="475" t="s">
        <v>246</v>
      </c>
      <c r="Q44" s="466" t="s">
        <v>621</v>
      </c>
      <c r="R44"/>
      <c r="S44"/>
      <c r="T44"/>
      <c r="U44"/>
      <c r="V44"/>
      <c r="W44"/>
      <c r="X44"/>
      <c r="Y44"/>
      <c r="Z44"/>
      <c r="AA44"/>
      <c r="AF44"/>
      <c r="AG44"/>
      <c r="AK44"/>
    </row>
    <row r="45" spans="1:37" s="466" customFormat="1" x14ac:dyDescent="0.25">
      <c r="A45" s="465" t="s">
        <v>247</v>
      </c>
      <c r="B45" s="465" t="s">
        <v>181</v>
      </c>
      <c r="C45" s="465"/>
      <c r="D45" s="465"/>
      <c r="E45" s="465"/>
      <c r="F45" s="465"/>
      <c r="G45" s="465"/>
      <c r="H45" s="465"/>
      <c r="I45" s="465"/>
      <c r="J45" s="465"/>
      <c r="K45" s="465"/>
      <c r="L45" s="465"/>
      <c r="M45" s="465"/>
      <c r="N45" s="465"/>
      <c r="P45" s="475" t="s">
        <v>247</v>
      </c>
      <c r="Q45" s="466" t="s">
        <v>621</v>
      </c>
      <c r="R45"/>
      <c r="S45"/>
      <c r="T45"/>
      <c r="U45"/>
      <c r="V45"/>
      <c r="W45"/>
      <c r="X45"/>
      <c r="Y45"/>
      <c r="Z45"/>
      <c r="AA45"/>
      <c r="AF45"/>
      <c r="AG45"/>
      <c r="AK45"/>
    </row>
    <row r="46" spans="1:37" s="466" customFormat="1" x14ac:dyDescent="0.25">
      <c r="A46" s="465" t="s">
        <v>248</v>
      </c>
      <c r="B46" s="465" t="s">
        <v>181</v>
      </c>
      <c r="C46" s="465" t="s">
        <v>185</v>
      </c>
      <c r="D46" s="465" t="s">
        <v>188</v>
      </c>
      <c r="E46" s="465"/>
      <c r="F46" s="465"/>
      <c r="G46" s="465"/>
      <c r="H46" s="465"/>
      <c r="I46" s="465"/>
      <c r="J46" s="465"/>
      <c r="K46" s="465"/>
      <c r="L46" s="465"/>
      <c r="M46" s="465"/>
      <c r="N46" s="465"/>
      <c r="P46" s="475" t="s">
        <v>248</v>
      </c>
      <c r="Q46" s="466" t="s">
        <v>623</v>
      </c>
      <c r="R46"/>
      <c r="S46"/>
      <c r="T46"/>
      <c r="U46"/>
      <c r="V46"/>
      <c r="W46"/>
      <c r="X46"/>
      <c r="Y46"/>
      <c r="Z46"/>
      <c r="AA46"/>
      <c r="AF46"/>
      <c r="AG46"/>
      <c r="AK46"/>
    </row>
    <row r="47" spans="1:37" s="466" customFormat="1" x14ac:dyDescent="0.25">
      <c r="A47" s="465" t="s">
        <v>249</v>
      </c>
      <c r="B47" s="465" t="s">
        <v>181</v>
      </c>
      <c r="C47" s="465" t="s">
        <v>185</v>
      </c>
      <c r="D47" s="465" t="s">
        <v>188</v>
      </c>
      <c r="E47" s="465"/>
      <c r="F47" s="465"/>
      <c r="G47" s="465"/>
      <c r="H47" s="465"/>
      <c r="I47" s="465"/>
      <c r="J47" s="465"/>
      <c r="K47" s="465"/>
      <c r="L47" s="465"/>
      <c r="M47" s="465"/>
      <c r="N47" s="465"/>
      <c r="P47" s="475" t="s">
        <v>249</v>
      </c>
      <c r="Q47" s="466" t="s">
        <v>624</v>
      </c>
      <c r="R47"/>
      <c r="S47"/>
      <c r="T47"/>
      <c r="U47"/>
      <c r="V47"/>
      <c r="W47"/>
      <c r="X47"/>
      <c r="Y47"/>
      <c r="Z47"/>
      <c r="AA47"/>
      <c r="AF47"/>
      <c r="AG47"/>
      <c r="AK47"/>
    </row>
    <row r="48" spans="1:37" s="466" customFormat="1" x14ac:dyDescent="0.25">
      <c r="A48" s="465" t="s">
        <v>250</v>
      </c>
      <c r="B48" s="465" t="s">
        <v>181</v>
      </c>
      <c r="C48" s="465"/>
      <c r="D48" s="465"/>
      <c r="E48" s="465"/>
      <c r="F48" s="465"/>
      <c r="G48" s="465"/>
      <c r="H48" s="465"/>
      <c r="I48" s="465"/>
      <c r="J48" s="465"/>
      <c r="K48" s="465"/>
      <c r="L48" s="465"/>
      <c r="M48" s="465"/>
      <c r="N48" s="465"/>
      <c r="P48" s="475" t="s">
        <v>598</v>
      </c>
      <c r="Q48" s="466" t="s">
        <v>621</v>
      </c>
      <c r="R48"/>
      <c r="S48"/>
      <c r="T48"/>
      <c r="U48"/>
      <c r="V48"/>
      <c r="W48"/>
      <c r="X48"/>
      <c r="Y48"/>
      <c r="Z48"/>
      <c r="AA48"/>
      <c r="AF48"/>
      <c r="AG48"/>
      <c r="AK48"/>
    </row>
    <row r="49" spans="1:37" s="466" customFormat="1" x14ac:dyDescent="0.25">
      <c r="A49" s="465" t="s">
        <v>251</v>
      </c>
      <c r="B49" s="465" t="s">
        <v>181</v>
      </c>
      <c r="C49" s="465"/>
      <c r="D49" s="465"/>
      <c r="E49" s="465"/>
      <c r="F49" s="465"/>
      <c r="G49" s="465"/>
      <c r="H49" s="465"/>
      <c r="I49" s="465"/>
      <c r="J49" s="465"/>
      <c r="K49" s="465"/>
      <c r="L49" s="465"/>
      <c r="M49" s="465"/>
      <c r="N49" s="465"/>
      <c r="P49" s="475" t="s">
        <v>251</v>
      </c>
      <c r="Q49" s="466" t="s">
        <v>621</v>
      </c>
      <c r="R49"/>
      <c r="S49"/>
      <c r="T49"/>
      <c r="U49"/>
      <c r="V49"/>
      <c r="W49"/>
      <c r="X49"/>
      <c r="Y49"/>
      <c r="Z49"/>
      <c r="AA49"/>
      <c r="AF49"/>
      <c r="AG49"/>
      <c r="AK49"/>
    </row>
    <row r="50" spans="1:37" s="466" customFormat="1" x14ac:dyDescent="0.25">
      <c r="A50" s="465" t="s">
        <v>252</v>
      </c>
      <c r="B50" s="465" t="s">
        <v>181</v>
      </c>
      <c r="C50" s="465"/>
      <c r="D50" s="465"/>
      <c r="E50" s="465"/>
      <c r="F50" s="465"/>
      <c r="G50" s="465"/>
      <c r="H50" s="465"/>
      <c r="I50" s="465"/>
      <c r="J50" s="465"/>
      <c r="K50" s="465"/>
      <c r="L50" s="465"/>
      <c r="M50" s="465"/>
      <c r="N50" s="465"/>
      <c r="P50" s="475" t="s">
        <v>252</v>
      </c>
      <c r="Q50" s="466" t="s">
        <v>621</v>
      </c>
      <c r="R50"/>
      <c r="S50"/>
      <c r="T50"/>
      <c r="U50"/>
      <c r="V50"/>
      <c r="W50"/>
      <c r="X50"/>
      <c r="Y50"/>
      <c r="Z50"/>
      <c r="AA50"/>
      <c r="AF50"/>
      <c r="AG50"/>
      <c r="AK50"/>
    </row>
    <row r="51" spans="1:37" s="466" customFormat="1" x14ac:dyDescent="0.25">
      <c r="A51" s="465" t="s">
        <v>256</v>
      </c>
      <c r="B51" s="465" t="s">
        <v>181</v>
      </c>
      <c r="C51" s="465"/>
      <c r="D51" s="465"/>
      <c r="E51" s="465"/>
      <c r="F51" s="465"/>
      <c r="G51" s="465"/>
      <c r="H51" s="465"/>
      <c r="I51" s="465"/>
      <c r="J51" s="465"/>
      <c r="K51" s="465"/>
      <c r="L51" s="465"/>
      <c r="M51" s="465"/>
      <c r="N51" s="465"/>
      <c r="P51" s="475" t="s">
        <v>599</v>
      </c>
      <c r="Q51" s="466" t="s">
        <v>621</v>
      </c>
      <c r="R51"/>
      <c r="S51"/>
      <c r="T51"/>
      <c r="U51"/>
      <c r="V51"/>
      <c r="W51"/>
      <c r="X51"/>
      <c r="Y51"/>
      <c r="Z51"/>
      <c r="AA51"/>
      <c r="AF51"/>
      <c r="AG51"/>
      <c r="AK51"/>
    </row>
    <row r="52" spans="1:37" s="466" customFormat="1" x14ac:dyDescent="0.25">
      <c r="A52" s="465" t="s">
        <v>257</v>
      </c>
      <c r="B52" s="465" t="s">
        <v>181</v>
      </c>
      <c r="C52" s="465"/>
      <c r="D52" s="465"/>
      <c r="E52" s="465"/>
      <c r="F52" s="465"/>
      <c r="G52" s="465"/>
      <c r="H52" s="465"/>
      <c r="I52" s="465"/>
      <c r="J52" s="465"/>
      <c r="K52" s="465"/>
      <c r="L52" s="465"/>
      <c r="M52" s="465"/>
      <c r="N52" s="465"/>
      <c r="P52" s="475" t="s">
        <v>600</v>
      </c>
      <c r="Q52" s="466" t="s">
        <v>621</v>
      </c>
      <c r="R52"/>
      <c r="S52"/>
      <c r="T52"/>
      <c r="U52"/>
      <c r="V52"/>
      <c r="W52"/>
      <c r="X52"/>
      <c r="Y52"/>
      <c r="Z52"/>
      <c r="AA52"/>
      <c r="AF52"/>
      <c r="AG52"/>
      <c r="AK52"/>
    </row>
    <row r="53" spans="1:37" s="466" customFormat="1" x14ac:dyDescent="0.25">
      <c r="A53" s="465" t="s">
        <v>258</v>
      </c>
      <c r="B53" s="465" t="s">
        <v>181</v>
      </c>
      <c r="C53" s="465" t="s">
        <v>185</v>
      </c>
      <c r="D53" s="465" t="s">
        <v>188</v>
      </c>
      <c r="E53" s="465"/>
      <c r="F53" s="465"/>
      <c r="G53" s="465"/>
      <c r="H53" s="465"/>
      <c r="I53" s="465"/>
      <c r="J53" s="465"/>
      <c r="K53" s="465"/>
      <c r="L53" s="465"/>
      <c r="M53" s="465"/>
      <c r="N53" s="465"/>
      <c r="P53" s="475" t="s">
        <v>602</v>
      </c>
      <c r="Q53" s="466" t="s">
        <v>625</v>
      </c>
      <c r="R53"/>
      <c r="S53"/>
      <c r="T53"/>
      <c r="U53"/>
      <c r="V53"/>
      <c r="W53"/>
      <c r="X53"/>
      <c r="Y53"/>
      <c r="Z53"/>
      <c r="AA53"/>
      <c r="AF53"/>
      <c r="AG53"/>
      <c r="AK53"/>
    </row>
    <row r="54" spans="1:37" s="466" customFormat="1" x14ac:dyDescent="0.25">
      <c r="A54" s="465" t="s">
        <v>259</v>
      </c>
      <c r="B54" s="465" t="s">
        <v>181</v>
      </c>
      <c r="C54" s="465" t="s">
        <v>185</v>
      </c>
      <c r="D54" s="465" t="s">
        <v>188</v>
      </c>
      <c r="E54" s="465"/>
      <c r="F54" s="465"/>
      <c r="G54" s="465"/>
      <c r="H54" s="465"/>
      <c r="I54" s="465"/>
      <c r="J54" s="465"/>
      <c r="K54" s="465"/>
      <c r="L54" s="465"/>
      <c r="M54" s="465"/>
      <c r="N54" s="465"/>
      <c r="P54" s="475" t="s">
        <v>601</v>
      </c>
      <c r="Q54" s="466" t="s">
        <v>623</v>
      </c>
      <c r="R54"/>
      <c r="S54"/>
      <c r="T54"/>
      <c r="U54"/>
      <c r="V54"/>
      <c r="W54"/>
      <c r="X54"/>
      <c r="Y54"/>
      <c r="Z54"/>
      <c r="AA54"/>
      <c r="AF54"/>
      <c r="AG54"/>
      <c r="AK54"/>
    </row>
    <row r="55" spans="1:37" s="466" customFormat="1" x14ac:dyDescent="0.25">
      <c r="A55" s="465" t="s">
        <v>261</v>
      </c>
      <c r="B55" s="465" t="s">
        <v>181</v>
      </c>
      <c r="C55" s="465" t="s">
        <v>185</v>
      </c>
      <c r="D55" s="465" t="s">
        <v>188</v>
      </c>
      <c r="E55" s="465"/>
      <c r="F55" s="465"/>
      <c r="G55" s="465"/>
      <c r="H55" s="465"/>
      <c r="I55" s="465"/>
      <c r="J55" s="465"/>
      <c r="K55" s="465"/>
      <c r="L55" s="465"/>
      <c r="M55" s="465"/>
      <c r="N55" s="465"/>
      <c r="P55" s="475" t="s">
        <v>603</v>
      </c>
      <c r="Q55" s="466" t="s">
        <v>623</v>
      </c>
      <c r="R55"/>
      <c r="S55"/>
      <c r="T55"/>
      <c r="U55"/>
      <c r="V55"/>
      <c r="W55"/>
      <c r="X55"/>
      <c r="Y55"/>
      <c r="Z55"/>
      <c r="AA55"/>
      <c r="AF55"/>
      <c r="AG55"/>
      <c r="AK55"/>
    </row>
    <row r="56" spans="1:37" s="466" customFormat="1" x14ac:dyDescent="0.25">
      <c r="A56" s="465" t="s">
        <v>260</v>
      </c>
      <c r="B56" s="465" t="s">
        <v>181</v>
      </c>
      <c r="C56" s="465" t="s">
        <v>185</v>
      </c>
      <c r="D56" s="465" t="s">
        <v>188</v>
      </c>
      <c r="E56" s="465"/>
      <c r="F56" s="465"/>
      <c r="G56" s="465"/>
      <c r="H56" s="465"/>
      <c r="I56" s="465"/>
      <c r="J56" s="465"/>
      <c r="K56" s="465"/>
      <c r="L56" s="465"/>
      <c r="M56" s="465"/>
      <c r="N56" s="465"/>
      <c r="R56"/>
      <c r="S56"/>
      <c r="T56"/>
      <c r="U56"/>
      <c r="V56"/>
      <c r="W56"/>
      <c r="X56"/>
      <c r="Y56"/>
      <c r="Z56"/>
      <c r="AA56"/>
      <c r="AF56"/>
      <c r="AG56"/>
      <c r="AK56"/>
    </row>
    <row r="57" spans="1:37" s="466" customFormat="1" x14ac:dyDescent="0.25">
      <c r="A57" s="465" t="s">
        <v>262</v>
      </c>
      <c r="B57" s="465" t="s">
        <v>181</v>
      </c>
      <c r="C57" s="465" t="s">
        <v>185</v>
      </c>
      <c r="D57" s="465" t="s">
        <v>188</v>
      </c>
      <c r="E57" s="465"/>
      <c r="F57" s="465"/>
      <c r="G57" s="465"/>
      <c r="H57" s="465"/>
      <c r="I57" s="465"/>
      <c r="J57" s="465"/>
      <c r="K57" s="465"/>
      <c r="L57" s="465"/>
      <c r="M57" s="465"/>
      <c r="N57" s="465"/>
      <c r="R57"/>
      <c r="S57"/>
      <c r="T57"/>
      <c r="U57"/>
      <c r="V57"/>
      <c r="W57"/>
      <c r="X57"/>
      <c r="Y57"/>
      <c r="Z57"/>
      <c r="AA57"/>
      <c r="AF57"/>
      <c r="AG57"/>
      <c r="AK57"/>
    </row>
    <row r="58" spans="1:37" s="466" customFormat="1" x14ac:dyDescent="0.25">
      <c r="A58" s="465" t="s">
        <v>263</v>
      </c>
      <c r="B58" s="465" t="s">
        <v>185</v>
      </c>
      <c r="C58" s="465" t="s">
        <v>188</v>
      </c>
      <c r="D58" s="465" t="s">
        <v>171</v>
      </c>
      <c r="E58" s="465" t="s">
        <v>181</v>
      </c>
      <c r="F58" s="465"/>
      <c r="G58" s="465"/>
      <c r="H58" s="465"/>
      <c r="I58" s="465"/>
      <c r="J58" s="465"/>
      <c r="K58" s="465"/>
      <c r="L58" s="465"/>
      <c r="M58" s="465"/>
      <c r="N58" s="465"/>
      <c r="P58" s="475" t="s">
        <v>604</v>
      </c>
      <c r="Q58" s="466" t="s">
        <v>626</v>
      </c>
      <c r="R58"/>
      <c r="S58"/>
      <c r="T58"/>
      <c r="U58"/>
      <c r="V58"/>
      <c r="W58"/>
      <c r="X58"/>
      <c r="Y58"/>
      <c r="Z58"/>
      <c r="AA58"/>
      <c r="AF58"/>
      <c r="AG58"/>
      <c r="AK58"/>
    </row>
    <row r="59" spans="1:37" s="466" customFormat="1" x14ac:dyDescent="0.25">
      <c r="A59" s="465" t="s">
        <v>346</v>
      </c>
      <c r="B59" s="465" t="s">
        <v>185</v>
      </c>
      <c r="C59" s="465" t="s">
        <v>188</v>
      </c>
      <c r="D59" s="465" t="s">
        <v>171</v>
      </c>
      <c r="E59" s="465" t="s">
        <v>181</v>
      </c>
      <c r="F59" s="465"/>
      <c r="G59" s="465"/>
      <c r="H59" s="465"/>
      <c r="I59" s="465"/>
      <c r="J59" s="465"/>
      <c r="K59" s="465"/>
      <c r="L59" s="465"/>
      <c r="M59" s="465"/>
      <c r="N59" s="465"/>
      <c r="P59" s="475" t="s">
        <v>607</v>
      </c>
      <c r="Q59" s="466" t="s">
        <v>628</v>
      </c>
      <c r="R59"/>
      <c r="S59"/>
      <c r="T59"/>
      <c r="U59"/>
      <c r="V59"/>
      <c r="W59"/>
      <c r="X59"/>
      <c r="Y59"/>
      <c r="Z59"/>
      <c r="AA59"/>
      <c r="AF59"/>
      <c r="AG59"/>
      <c r="AK59"/>
    </row>
    <row r="60" spans="1:37" s="466" customFormat="1" x14ac:dyDescent="0.25">
      <c r="A60" s="465" t="s">
        <v>347</v>
      </c>
      <c r="B60" s="465" t="s">
        <v>185</v>
      </c>
      <c r="C60" s="465" t="s">
        <v>188</v>
      </c>
      <c r="D60" s="465" t="s">
        <v>171</v>
      </c>
      <c r="E60" s="465" t="s">
        <v>181</v>
      </c>
      <c r="F60" s="465" t="s">
        <v>133</v>
      </c>
      <c r="G60" s="465"/>
      <c r="H60" s="465"/>
      <c r="I60" s="465"/>
      <c r="J60" s="465"/>
      <c r="K60" s="465"/>
      <c r="L60" s="465"/>
      <c r="M60" s="465"/>
      <c r="N60" s="465"/>
      <c r="P60" s="475" t="s">
        <v>606</v>
      </c>
      <c r="Q60" s="466" t="s">
        <v>627</v>
      </c>
      <c r="R60"/>
      <c r="S60"/>
      <c r="T60"/>
      <c r="U60"/>
      <c r="V60"/>
      <c r="W60"/>
      <c r="X60"/>
      <c r="Y60"/>
      <c r="Z60"/>
      <c r="AA60"/>
      <c r="AF60"/>
      <c r="AG60"/>
      <c r="AK60"/>
    </row>
    <row r="61" spans="1:37" s="466" customFormat="1" x14ac:dyDescent="0.25">
      <c r="A61" s="465" t="s">
        <v>348</v>
      </c>
      <c r="B61" s="465" t="s">
        <v>185</v>
      </c>
      <c r="C61" s="465" t="s">
        <v>188</v>
      </c>
      <c r="D61" s="465" t="s">
        <v>171</v>
      </c>
      <c r="E61" s="465" t="s">
        <v>181</v>
      </c>
      <c r="F61" s="465" t="s">
        <v>133</v>
      </c>
      <c r="G61" s="465"/>
      <c r="H61" s="465"/>
      <c r="I61" s="465"/>
      <c r="J61" s="465"/>
      <c r="K61" s="465"/>
      <c r="L61" s="465"/>
      <c r="M61" s="465"/>
      <c r="N61" s="465"/>
      <c r="P61" s="475" t="s">
        <v>605</v>
      </c>
      <c r="Q61" s="466" t="s">
        <v>627</v>
      </c>
      <c r="R61"/>
      <c r="S61"/>
      <c r="T61"/>
      <c r="U61"/>
      <c r="V61"/>
      <c r="W61"/>
      <c r="X61"/>
      <c r="Y61"/>
      <c r="Z61"/>
      <c r="AA61"/>
      <c r="AF61"/>
      <c r="AG61"/>
      <c r="AK61"/>
    </row>
    <row r="62" spans="1:37" s="466" customFormat="1" x14ac:dyDescent="0.25">
      <c r="A62" s="465" t="s">
        <v>349</v>
      </c>
      <c r="B62" s="465" t="s">
        <v>185</v>
      </c>
      <c r="C62" s="465" t="s">
        <v>188</v>
      </c>
      <c r="D62" s="465" t="s">
        <v>171</v>
      </c>
      <c r="E62" s="465" t="s">
        <v>181</v>
      </c>
      <c r="F62" s="465"/>
      <c r="G62" s="465"/>
      <c r="H62" s="465"/>
      <c r="I62" s="465"/>
      <c r="J62" s="465"/>
      <c r="K62" s="465"/>
      <c r="L62" s="465"/>
      <c r="M62" s="465"/>
      <c r="N62" s="465"/>
      <c r="P62" s="475" t="s">
        <v>608</v>
      </c>
      <c r="Q62" s="466" t="s">
        <v>628</v>
      </c>
      <c r="R62"/>
      <c r="S62"/>
      <c r="T62"/>
      <c r="U62"/>
      <c r="V62"/>
      <c r="W62"/>
      <c r="X62"/>
      <c r="Y62"/>
      <c r="Z62"/>
      <c r="AA62"/>
      <c r="AF62"/>
      <c r="AG62"/>
      <c r="AK62"/>
    </row>
    <row r="63" spans="1:37" s="466" customFormat="1" x14ac:dyDescent="0.25">
      <c r="A63" s="465" t="s">
        <v>266</v>
      </c>
      <c r="B63" s="465" t="s">
        <v>133</v>
      </c>
      <c r="C63" s="465" t="s">
        <v>181</v>
      </c>
      <c r="D63" s="465" t="s">
        <v>185</v>
      </c>
      <c r="E63" s="465" t="s">
        <v>188</v>
      </c>
      <c r="F63" s="465" t="s">
        <v>122</v>
      </c>
      <c r="G63" s="465"/>
      <c r="H63" s="465"/>
      <c r="I63" s="465"/>
      <c r="J63" s="465"/>
      <c r="K63" s="465"/>
      <c r="L63" s="465"/>
      <c r="M63" s="465"/>
      <c r="N63" s="465"/>
      <c r="P63" s="475" t="s">
        <v>573</v>
      </c>
      <c r="Q63" s="466" t="s">
        <v>610</v>
      </c>
      <c r="R63"/>
      <c r="S63"/>
      <c r="T63"/>
      <c r="U63"/>
      <c r="V63"/>
      <c r="W63"/>
      <c r="X63"/>
      <c r="Y63"/>
      <c r="Z63"/>
      <c r="AA63"/>
      <c r="AF63"/>
      <c r="AG63"/>
      <c r="AK63"/>
    </row>
    <row r="64" spans="1:37" s="466" customFormat="1" x14ac:dyDescent="0.25">
      <c r="A64" s="465" t="s">
        <v>268</v>
      </c>
      <c r="B64" s="465" t="s">
        <v>133</v>
      </c>
      <c r="C64" s="465" t="s">
        <v>181</v>
      </c>
      <c r="D64" s="465" t="s">
        <v>185</v>
      </c>
      <c r="E64" s="465" t="s">
        <v>188</v>
      </c>
      <c r="F64" s="465" t="s">
        <v>122</v>
      </c>
      <c r="G64" s="465"/>
      <c r="H64" s="465"/>
      <c r="I64" s="465"/>
      <c r="J64" s="465"/>
      <c r="K64" s="465"/>
      <c r="L64" s="465"/>
      <c r="M64" s="465"/>
      <c r="N64" s="465"/>
      <c r="P64" s="475" t="s">
        <v>268</v>
      </c>
      <c r="Q64" s="466" t="s">
        <v>610</v>
      </c>
      <c r="R64"/>
      <c r="S64"/>
      <c r="T64"/>
      <c r="U64"/>
      <c r="V64"/>
      <c r="W64"/>
      <c r="X64"/>
      <c r="Y64"/>
      <c r="Z64"/>
      <c r="AA64"/>
      <c r="AF64"/>
      <c r="AG64"/>
      <c r="AK64"/>
    </row>
    <row r="65" spans="1:37" s="466" customFormat="1" x14ac:dyDescent="0.25">
      <c r="A65" s="465" t="s">
        <v>269</v>
      </c>
      <c r="B65" s="465" t="s">
        <v>133</v>
      </c>
      <c r="C65" s="465" t="s">
        <v>181</v>
      </c>
      <c r="D65" s="465" t="s">
        <v>185</v>
      </c>
      <c r="E65" s="465" t="s">
        <v>188</v>
      </c>
      <c r="F65" s="465" t="s">
        <v>122</v>
      </c>
      <c r="G65" s="465"/>
      <c r="H65" s="465"/>
      <c r="I65" s="465"/>
      <c r="J65" s="465"/>
      <c r="K65" s="465"/>
      <c r="L65" s="465"/>
      <c r="M65" s="465"/>
      <c r="N65" s="465"/>
      <c r="P65" s="475" t="s">
        <v>269</v>
      </c>
      <c r="Q65" s="466" t="s">
        <v>610</v>
      </c>
      <c r="R65"/>
      <c r="S65"/>
      <c r="T65"/>
      <c r="U65"/>
      <c r="V65"/>
      <c r="W65"/>
      <c r="X65"/>
      <c r="Y65"/>
      <c r="Z65"/>
      <c r="AA65"/>
      <c r="AF65"/>
      <c r="AG65"/>
      <c r="AK65"/>
    </row>
    <row r="66" spans="1:37" s="466" customFormat="1" x14ac:dyDescent="0.25">
      <c r="A66" s="465" t="s">
        <v>270</v>
      </c>
      <c r="B66" s="465" t="s">
        <v>133</v>
      </c>
      <c r="C66" s="465" t="s">
        <v>181</v>
      </c>
      <c r="D66" s="465" t="s">
        <v>185</v>
      </c>
      <c r="E66" s="465" t="s">
        <v>188</v>
      </c>
      <c r="F66" s="465" t="s">
        <v>122</v>
      </c>
      <c r="G66" s="465"/>
      <c r="H66" s="465"/>
      <c r="I66" s="465"/>
      <c r="J66" s="465"/>
      <c r="K66" s="465"/>
      <c r="L66" s="465"/>
      <c r="M66" s="465"/>
      <c r="N66" s="465"/>
      <c r="P66" s="475" t="s">
        <v>270</v>
      </c>
      <c r="Q66" s="466" t="s">
        <v>610</v>
      </c>
      <c r="R66"/>
      <c r="S66"/>
      <c r="T66"/>
      <c r="U66"/>
      <c r="V66"/>
      <c r="W66"/>
      <c r="X66"/>
      <c r="Y66"/>
      <c r="Z66"/>
      <c r="AA66"/>
      <c r="AF66"/>
      <c r="AG66"/>
      <c r="AK66"/>
    </row>
    <row r="67" spans="1:37" s="466" customFormat="1" x14ac:dyDescent="0.25">
      <c r="A67" s="465" t="s">
        <v>271</v>
      </c>
      <c r="B67" s="465" t="s">
        <v>133</v>
      </c>
      <c r="C67" s="465" t="s">
        <v>181</v>
      </c>
      <c r="D67" s="465" t="s">
        <v>185</v>
      </c>
      <c r="E67" s="465" t="s">
        <v>188</v>
      </c>
      <c r="F67" s="465" t="s">
        <v>122</v>
      </c>
      <c r="G67" s="465"/>
      <c r="H67" s="465"/>
      <c r="I67" s="465"/>
      <c r="J67" s="465"/>
      <c r="K67" s="465"/>
      <c r="L67" s="465"/>
      <c r="M67" s="465"/>
      <c r="N67" s="465"/>
      <c r="P67" s="475" t="s">
        <v>271</v>
      </c>
      <c r="Q67" s="466" t="s">
        <v>610</v>
      </c>
      <c r="R67"/>
      <c r="S67"/>
      <c r="T67"/>
      <c r="U67"/>
      <c r="V67"/>
      <c r="W67"/>
      <c r="X67"/>
      <c r="Y67"/>
      <c r="Z67"/>
      <c r="AA67"/>
      <c r="AF67"/>
      <c r="AG67"/>
      <c r="AK67"/>
    </row>
    <row r="68" spans="1:37" s="466" customFormat="1" x14ac:dyDescent="0.25">
      <c r="A68" s="465" t="s">
        <v>272</v>
      </c>
      <c r="B68" s="465" t="s">
        <v>133</v>
      </c>
      <c r="C68" s="465" t="s">
        <v>181</v>
      </c>
      <c r="D68" s="465" t="s">
        <v>122</v>
      </c>
      <c r="E68" s="465"/>
      <c r="F68" s="465"/>
      <c r="G68" s="465"/>
      <c r="H68" s="465"/>
      <c r="I68" s="465"/>
      <c r="J68" s="465"/>
      <c r="K68" s="465"/>
      <c r="L68" s="465"/>
      <c r="M68" s="465"/>
      <c r="N68" s="465"/>
      <c r="P68" s="475" t="s">
        <v>575</v>
      </c>
      <c r="Q68" s="466" t="s">
        <v>612</v>
      </c>
      <c r="R68"/>
      <c r="S68"/>
      <c r="T68"/>
      <c r="U68"/>
      <c r="V68"/>
      <c r="W68"/>
      <c r="X68"/>
      <c r="Y68"/>
      <c r="Z68"/>
      <c r="AA68"/>
      <c r="AF68"/>
      <c r="AG68"/>
      <c r="AK68"/>
    </row>
    <row r="69" spans="1:37" s="466" customFormat="1" x14ac:dyDescent="0.25">
      <c r="A69" s="465" t="s">
        <v>273</v>
      </c>
      <c r="B69" s="465" t="s">
        <v>133</v>
      </c>
      <c r="C69" s="465" t="s">
        <v>181</v>
      </c>
      <c r="D69" s="465" t="s">
        <v>122</v>
      </c>
      <c r="E69" s="465" t="s">
        <v>175</v>
      </c>
      <c r="F69" s="465" t="s">
        <v>173</v>
      </c>
      <c r="G69" s="465" t="s">
        <v>122</v>
      </c>
      <c r="H69" s="465" t="s">
        <v>185</v>
      </c>
      <c r="I69" s="465" t="s">
        <v>188</v>
      </c>
      <c r="J69" s="465"/>
      <c r="K69" s="465"/>
      <c r="L69" s="465"/>
      <c r="M69" s="465"/>
      <c r="N69" s="465"/>
      <c r="P69" s="475" t="s">
        <v>574</v>
      </c>
      <c r="Q69" s="466" t="s">
        <v>611</v>
      </c>
      <c r="R69"/>
      <c r="S69"/>
      <c r="T69"/>
      <c r="U69"/>
      <c r="V69"/>
      <c r="W69"/>
      <c r="X69"/>
      <c r="Y69"/>
      <c r="Z69"/>
      <c r="AA69"/>
      <c r="AF69"/>
      <c r="AG69"/>
      <c r="AK69"/>
    </row>
    <row r="70" spans="1:37" s="466" customFormat="1" x14ac:dyDescent="0.25">
      <c r="A70" s="465" t="s">
        <v>274</v>
      </c>
      <c r="B70" s="465" t="s">
        <v>185</v>
      </c>
      <c r="C70" s="465" t="s">
        <v>188</v>
      </c>
      <c r="D70" s="465"/>
      <c r="E70" s="465"/>
      <c r="F70" s="465"/>
      <c r="G70" s="465"/>
      <c r="H70" s="465"/>
      <c r="I70" s="465"/>
      <c r="J70" s="465"/>
      <c r="K70" s="465"/>
      <c r="L70" s="465"/>
      <c r="M70" s="465"/>
      <c r="N70" s="465"/>
      <c r="P70" s="475" t="s">
        <v>576</v>
      </c>
      <c r="Q70" s="466" t="s">
        <v>609</v>
      </c>
      <c r="R70"/>
      <c r="S70"/>
      <c r="T70"/>
      <c r="U70"/>
      <c r="V70"/>
      <c r="W70"/>
      <c r="X70"/>
      <c r="Y70"/>
      <c r="Z70"/>
      <c r="AA70"/>
      <c r="AF70"/>
      <c r="AG70"/>
      <c r="AK70"/>
    </row>
    <row r="71" spans="1:37" s="466" customFormat="1" x14ac:dyDescent="0.25">
      <c r="A71" s="465" t="s">
        <v>275</v>
      </c>
      <c r="B71" s="465" t="s">
        <v>185</v>
      </c>
      <c r="C71" s="465" t="s">
        <v>188</v>
      </c>
      <c r="D71" s="465" t="s">
        <v>181</v>
      </c>
      <c r="E71" s="465"/>
      <c r="F71" s="465"/>
      <c r="G71" s="465"/>
      <c r="H71" s="465"/>
      <c r="I71" s="465"/>
      <c r="J71" s="465"/>
      <c r="K71" s="465"/>
      <c r="L71" s="465"/>
      <c r="M71" s="465"/>
      <c r="N71" s="465"/>
      <c r="P71" s="475" t="s">
        <v>577</v>
      </c>
      <c r="Q71" s="466" t="s">
        <v>613</v>
      </c>
      <c r="R71"/>
      <c r="S71"/>
      <c r="T71"/>
      <c r="U71"/>
      <c r="V71"/>
      <c r="W71"/>
      <c r="X71"/>
      <c r="Y71"/>
      <c r="Z71"/>
      <c r="AA71"/>
      <c r="AF71"/>
      <c r="AG71"/>
      <c r="AK71"/>
    </row>
    <row r="72" spans="1:37" s="466" customFormat="1" x14ac:dyDescent="0.25">
      <c r="A72" s="465" t="s">
        <v>276</v>
      </c>
      <c r="B72" s="465" t="s">
        <v>185</v>
      </c>
      <c r="C72" s="465" t="s">
        <v>188</v>
      </c>
      <c r="D72" s="465" t="s">
        <v>181</v>
      </c>
      <c r="E72" s="465"/>
      <c r="F72" s="465"/>
      <c r="G72" s="465"/>
      <c r="H72" s="465"/>
      <c r="I72" s="465"/>
      <c r="J72" s="465"/>
      <c r="K72" s="465"/>
      <c r="L72" s="465"/>
      <c r="M72" s="465"/>
      <c r="N72" s="465"/>
      <c r="R72"/>
      <c r="S72"/>
      <c r="T72"/>
      <c r="U72"/>
      <c r="V72"/>
      <c r="W72"/>
      <c r="X72"/>
      <c r="Y72"/>
      <c r="Z72"/>
      <c r="AA72"/>
      <c r="AF72"/>
      <c r="AG72"/>
      <c r="AK72"/>
    </row>
    <row r="73" spans="1:37" s="466" customFormat="1" x14ac:dyDescent="0.25">
      <c r="A73" s="465" t="s">
        <v>277</v>
      </c>
      <c r="B73" s="465" t="s">
        <v>133</v>
      </c>
      <c r="C73" s="465" t="s">
        <v>181</v>
      </c>
      <c r="D73" s="465" t="s">
        <v>185</v>
      </c>
      <c r="E73" s="465" t="s">
        <v>188</v>
      </c>
      <c r="F73" s="465"/>
      <c r="G73" s="465"/>
      <c r="H73" s="465"/>
      <c r="I73" s="465"/>
      <c r="J73" s="465"/>
      <c r="K73" s="465"/>
      <c r="L73" s="465"/>
      <c r="M73" s="465"/>
      <c r="N73" s="465"/>
      <c r="P73" s="475" t="s">
        <v>578</v>
      </c>
      <c r="Q73" s="466" t="s">
        <v>614</v>
      </c>
      <c r="R73"/>
      <c r="S73"/>
      <c r="T73"/>
      <c r="U73"/>
      <c r="V73"/>
      <c r="W73"/>
      <c r="X73"/>
      <c r="Y73"/>
      <c r="Z73"/>
      <c r="AA73"/>
      <c r="AF73"/>
      <c r="AG73"/>
      <c r="AK73"/>
    </row>
    <row r="74" spans="1:37" s="466" customFormat="1" x14ac:dyDescent="0.25">
      <c r="A74" s="465" t="s">
        <v>278</v>
      </c>
      <c r="B74" s="465" t="s">
        <v>133</v>
      </c>
      <c r="C74" s="465" t="s">
        <v>181</v>
      </c>
      <c r="D74" s="465" t="s">
        <v>185</v>
      </c>
      <c r="E74" s="465" t="s">
        <v>188</v>
      </c>
      <c r="F74" s="465"/>
      <c r="G74" s="465"/>
      <c r="H74" s="465"/>
      <c r="I74" s="465"/>
      <c r="J74" s="465"/>
      <c r="K74" s="465"/>
      <c r="L74" s="465"/>
      <c r="M74" s="465"/>
      <c r="N74" s="465"/>
      <c r="P74" s="475" t="s">
        <v>579</v>
      </c>
      <c r="Q74" s="466" t="s">
        <v>614</v>
      </c>
      <c r="R74"/>
      <c r="S74"/>
      <c r="T74"/>
      <c r="U74"/>
      <c r="V74"/>
      <c r="W74"/>
      <c r="X74"/>
      <c r="Y74"/>
      <c r="Z74"/>
      <c r="AA74"/>
      <c r="AF74"/>
      <c r="AG74"/>
      <c r="AK74"/>
    </row>
    <row r="75" spans="1:37" s="466" customFormat="1" x14ac:dyDescent="0.25">
      <c r="A75" s="465" t="s">
        <v>279</v>
      </c>
      <c r="B75" s="465" t="s">
        <v>185</v>
      </c>
      <c r="C75" s="465" t="s">
        <v>188</v>
      </c>
      <c r="D75" s="465"/>
      <c r="E75" s="465"/>
      <c r="F75" s="465"/>
      <c r="G75" s="465"/>
      <c r="H75" s="465"/>
      <c r="I75" s="465"/>
      <c r="J75" s="465"/>
      <c r="K75" s="465"/>
      <c r="L75" s="465"/>
      <c r="M75" s="465"/>
      <c r="N75" s="465"/>
      <c r="P75" s="475" t="s">
        <v>279</v>
      </c>
      <c r="Q75" s="466" t="s">
        <v>609</v>
      </c>
      <c r="R75"/>
      <c r="S75"/>
      <c r="T75"/>
      <c r="U75"/>
      <c r="V75"/>
      <c r="W75"/>
      <c r="X75"/>
      <c r="Y75"/>
      <c r="Z75"/>
      <c r="AA75"/>
      <c r="AF75"/>
      <c r="AG75"/>
      <c r="AK75"/>
    </row>
    <row r="76" spans="1:37" s="466" customFormat="1" x14ac:dyDescent="0.25">
      <c r="A76" s="465" t="s">
        <v>335</v>
      </c>
      <c r="B76" s="465" t="s">
        <v>185</v>
      </c>
      <c r="C76" s="465" t="s">
        <v>188</v>
      </c>
      <c r="D76" s="465"/>
      <c r="E76" s="465"/>
      <c r="F76" s="465"/>
      <c r="G76" s="465"/>
      <c r="H76" s="465"/>
      <c r="I76" s="465"/>
      <c r="J76" s="465"/>
      <c r="K76" s="465"/>
      <c r="L76" s="465"/>
      <c r="M76" s="465"/>
      <c r="N76" s="465"/>
      <c r="P76" s="475" t="s">
        <v>335</v>
      </c>
      <c r="Q76" s="466" t="s">
        <v>615</v>
      </c>
      <c r="R76"/>
      <c r="S76"/>
      <c r="T76"/>
      <c r="U76"/>
      <c r="V76"/>
      <c r="W76"/>
      <c r="X76"/>
      <c r="Y76"/>
      <c r="Z76"/>
      <c r="AA76"/>
      <c r="AF76"/>
      <c r="AG76"/>
      <c r="AK76"/>
    </row>
    <row r="77" spans="1:37" s="466" customFormat="1" x14ac:dyDescent="0.25">
      <c r="A77" s="465" t="s">
        <v>336</v>
      </c>
      <c r="B77" s="465" t="s">
        <v>133</v>
      </c>
      <c r="C77" s="465" t="s">
        <v>181</v>
      </c>
      <c r="D77" s="465" t="s">
        <v>185</v>
      </c>
      <c r="E77" s="465" t="s">
        <v>188</v>
      </c>
      <c r="F77" s="465"/>
      <c r="G77" s="465"/>
      <c r="H77" s="465"/>
      <c r="I77" s="465"/>
      <c r="J77" s="465"/>
      <c r="K77" s="465"/>
      <c r="L77" s="465"/>
      <c r="M77" s="465"/>
      <c r="N77" s="465"/>
      <c r="P77" s="475" t="s">
        <v>336</v>
      </c>
      <c r="Q77" s="466" t="s">
        <v>616</v>
      </c>
      <c r="R77"/>
      <c r="S77"/>
      <c r="T77"/>
      <c r="U77"/>
      <c r="V77"/>
      <c r="W77"/>
      <c r="X77"/>
      <c r="Y77"/>
      <c r="Z77"/>
      <c r="AA77"/>
      <c r="AF77"/>
      <c r="AG77"/>
      <c r="AK77"/>
    </row>
    <row r="78" spans="1:37" s="466" customFormat="1" x14ac:dyDescent="0.25">
      <c r="A78" s="465"/>
      <c r="B78" s="465"/>
      <c r="C78" s="465"/>
      <c r="D78" s="465"/>
      <c r="E78" s="465"/>
      <c r="F78" s="465"/>
      <c r="G78" s="465"/>
      <c r="H78" s="465"/>
      <c r="I78" s="465"/>
      <c r="J78" s="465"/>
      <c r="K78" s="465"/>
      <c r="L78" s="465"/>
      <c r="M78" s="465"/>
      <c r="N78" s="465"/>
      <c r="P78"/>
      <c r="Q78"/>
      <c r="R78"/>
      <c r="S78"/>
      <c r="T78"/>
      <c r="U78"/>
      <c r="V78"/>
      <c r="W78"/>
      <c r="X78"/>
      <c r="Y78"/>
      <c r="Z78"/>
      <c r="AA78"/>
      <c r="AF78"/>
      <c r="AG78"/>
      <c r="AK78"/>
    </row>
    <row r="79" spans="1:37" s="466" customFormat="1" x14ac:dyDescent="0.25">
      <c r="A79" s="465"/>
      <c r="B79" s="465"/>
      <c r="C79" s="465"/>
      <c r="D79" s="465"/>
      <c r="E79" s="465"/>
      <c r="F79" s="465"/>
      <c r="G79" s="465"/>
      <c r="H79" s="465"/>
      <c r="I79" s="465"/>
      <c r="J79" s="465"/>
      <c r="K79" s="465"/>
      <c r="L79" s="465"/>
      <c r="M79" s="465"/>
      <c r="N79" s="465"/>
      <c r="Q79"/>
      <c r="R79"/>
      <c r="S79"/>
      <c r="T79"/>
      <c r="U79"/>
      <c r="V79"/>
      <c r="W79"/>
      <c r="X79"/>
      <c r="Y79"/>
      <c r="Z79"/>
      <c r="AA79"/>
      <c r="AF79"/>
      <c r="AG79"/>
      <c r="AK79"/>
    </row>
    <row r="80" spans="1:37" s="466" customFormat="1" x14ac:dyDescent="0.25">
      <c r="A80" s="465"/>
      <c r="B80" s="465"/>
      <c r="C80" s="465"/>
      <c r="D80" s="465"/>
      <c r="E80" s="465"/>
      <c r="F80" s="465"/>
      <c r="G80" s="465"/>
      <c r="H80" s="465"/>
      <c r="I80" s="465"/>
      <c r="J80" s="465"/>
      <c r="K80" s="465"/>
      <c r="L80" s="465"/>
      <c r="M80" s="465"/>
      <c r="N80" s="465"/>
      <c r="Q80"/>
      <c r="R80"/>
      <c r="S80"/>
      <c r="T80"/>
      <c r="U80"/>
      <c r="V80"/>
      <c r="W80"/>
      <c r="X80"/>
      <c r="Y80"/>
      <c r="Z80"/>
      <c r="AA80"/>
      <c r="AF80"/>
      <c r="AG80"/>
      <c r="AK80"/>
    </row>
    <row r="81" spans="1:37" s="466" customFormat="1" x14ac:dyDescent="0.25">
      <c r="A81" s="465"/>
      <c r="B81" s="465"/>
      <c r="C81" s="465"/>
      <c r="D81" s="465"/>
      <c r="E81" s="465"/>
      <c r="F81" s="465"/>
      <c r="G81" s="465"/>
      <c r="H81" s="465"/>
      <c r="I81" s="465"/>
      <c r="J81" s="465"/>
      <c r="K81" s="465"/>
      <c r="L81" s="465"/>
      <c r="M81" s="465"/>
      <c r="N81" s="465"/>
      <c r="P81"/>
      <c r="Q81"/>
      <c r="R81"/>
      <c r="S81"/>
      <c r="T81"/>
      <c r="U81"/>
      <c r="V81"/>
      <c r="W81"/>
      <c r="X81"/>
      <c r="Y81"/>
      <c r="Z81"/>
      <c r="AA81"/>
      <c r="AF81"/>
      <c r="AG81"/>
      <c r="AK81"/>
    </row>
    <row r="82" spans="1:37" s="466" customFormat="1" x14ac:dyDescent="0.25">
      <c r="A82" s="465"/>
      <c r="B82" s="465"/>
      <c r="C82" s="465"/>
      <c r="D82" s="465"/>
      <c r="E82" s="465"/>
      <c r="F82" s="465"/>
      <c r="G82" s="465"/>
      <c r="H82" s="465"/>
      <c r="I82" s="465"/>
      <c r="J82" s="465"/>
      <c r="K82" s="465"/>
      <c r="L82" s="465"/>
      <c r="M82" s="465"/>
      <c r="N82" s="465"/>
      <c r="P82"/>
      <c r="Q82"/>
      <c r="R82"/>
      <c r="S82"/>
      <c r="T82"/>
      <c r="U82"/>
      <c r="V82"/>
      <c r="W82"/>
      <c r="X82"/>
      <c r="Y82"/>
      <c r="Z82"/>
      <c r="AA82"/>
      <c r="AF82"/>
      <c r="AG82"/>
    </row>
    <row r="83" spans="1:37" s="466" customFormat="1" x14ac:dyDescent="0.25">
      <c r="A83" s="465"/>
      <c r="B83" s="465"/>
      <c r="C83" s="465"/>
      <c r="D83" s="465"/>
      <c r="E83" s="465"/>
      <c r="F83" s="465"/>
      <c r="G83" s="465"/>
      <c r="H83" s="465"/>
      <c r="I83" s="465"/>
      <c r="J83" s="465"/>
      <c r="K83" s="465"/>
      <c r="L83" s="465"/>
      <c r="M83" s="465"/>
      <c r="N83" s="465"/>
      <c r="P83"/>
      <c r="Q83"/>
      <c r="R83"/>
      <c r="S83"/>
      <c r="T83"/>
      <c r="U83"/>
      <c r="V83"/>
      <c r="W83"/>
      <c r="X83"/>
      <c r="Y83"/>
      <c r="Z83"/>
      <c r="AA83"/>
      <c r="AF83"/>
      <c r="AG83"/>
    </row>
    <row r="84" spans="1:37" s="466" customFormat="1" x14ac:dyDescent="0.25">
      <c r="A84" s="465"/>
      <c r="B84" s="465"/>
      <c r="C84" s="465"/>
      <c r="D84" s="465"/>
      <c r="E84" s="465"/>
      <c r="F84" s="465"/>
      <c r="G84" s="465"/>
      <c r="H84" s="465"/>
      <c r="I84" s="465"/>
      <c r="J84" s="465"/>
      <c r="K84" s="465"/>
      <c r="L84" s="465"/>
      <c r="M84" s="465"/>
      <c r="N84" s="465"/>
      <c r="P84"/>
      <c r="Q84"/>
      <c r="R84"/>
      <c r="S84"/>
      <c r="T84"/>
      <c r="U84"/>
      <c r="V84"/>
      <c r="W84"/>
      <c r="X84"/>
      <c r="Y84"/>
      <c r="Z84"/>
      <c r="AA84"/>
      <c r="AF84"/>
      <c r="AG84"/>
    </row>
    <row r="85" spans="1:37" s="466" customFormat="1" x14ac:dyDescent="0.25">
      <c r="A85"/>
      <c r="B85"/>
      <c r="C85"/>
      <c r="D85"/>
      <c r="E85"/>
      <c r="F85"/>
      <c r="G85"/>
      <c r="H85"/>
      <c r="I85"/>
      <c r="J85"/>
      <c r="K85"/>
      <c r="L85"/>
      <c r="M85"/>
      <c r="N85"/>
      <c r="O85"/>
      <c r="P85"/>
      <c r="Q85"/>
      <c r="R85"/>
      <c r="S85"/>
      <c r="T85"/>
      <c r="U85"/>
      <c r="V85"/>
      <c r="W85"/>
      <c r="X85"/>
      <c r="Y85"/>
      <c r="Z85"/>
      <c r="AA85"/>
      <c r="AF85"/>
      <c r="AG85"/>
    </row>
    <row r="86" spans="1:37" s="466" customFormat="1" x14ac:dyDescent="0.25">
      <c r="A86" s="519" t="s">
        <v>645</v>
      </c>
      <c r="B86" s="520" t="s">
        <v>644</v>
      </c>
      <c r="C86"/>
      <c r="D86"/>
      <c r="E86"/>
      <c r="F86"/>
      <c r="G86"/>
      <c r="H86"/>
      <c r="I86"/>
      <c r="J86"/>
      <c r="K86"/>
      <c r="L86"/>
      <c r="M86"/>
      <c r="N86"/>
      <c r="O86"/>
      <c r="P86"/>
      <c r="Q86"/>
      <c r="R86"/>
      <c r="S86"/>
      <c r="T86"/>
      <c r="U86"/>
      <c r="V86"/>
      <c r="W86"/>
      <c r="X86"/>
      <c r="Y86"/>
      <c r="Z86"/>
      <c r="AA86"/>
      <c r="AF86"/>
      <c r="AG86"/>
    </row>
    <row r="87" spans="1:37" s="466" customFormat="1" x14ac:dyDescent="0.25">
      <c r="A87" s="465" t="s">
        <v>195</v>
      </c>
      <c r="B87" s="465">
        <v>1</v>
      </c>
      <c r="C87" s="465">
        <v>2</v>
      </c>
      <c r="D87" s="465">
        <v>3</v>
      </c>
      <c r="E87" s="465"/>
      <c r="F87" s="465"/>
      <c r="G87"/>
      <c r="H87"/>
      <c r="I87"/>
      <c r="J87"/>
      <c r="K87"/>
      <c r="L87"/>
      <c r="M87"/>
      <c r="N87"/>
      <c r="O87"/>
      <c r="P87"/>
      <c r="Q87"/>
      <c r="R87"/>
      <c r="S87"/>
      <c r="T87"/>
      <c r="U87"/>
      <c r="V87"/>
      <c r="W87"/>
      <c r="X87"/>
      <c r="Y87"/>
      <c r="Z87"/>
      <c r="AA87"/>
      <c r="AF87"/>
      <c r="AG87"/>
    </row>
    <row r="88" spans="1:37" s="466" customFormat="1" x14ac:dyDescent="0.25">
      <c r="A88" s="465" t="s">
        <v>339</v>
      </c>
      <c r="B88" s="465">
        <v>1</v>
      </c>
      <c r="C88" s="465">
        <v>2</v>
      </c>
      <c r="D88" s="465">
        <v>3</v>
      </c>
      <c r="E88" s="465"/>
      <c r="F88" s="465"/>
      <c r="G88"/>
      <c r="H88"/>
      <c r="I88"/>
      <c r="J88"/>
      <c r="L88"/>
      <c r="M88"/>
      <c r="N88"/>
      <c r="O88"/>
      <c r="P88" s="466" t="s">
        <v>571</v>
      </c>
      <c r="Q88"/>
      <c r="R88"/>
      <c r="S88"/>
      <c r="T88"/>
      <c r="U88"/>
      <c r="V88"/>
      <c r="W88"/>
      <c r="X88"/>
      <c r="Y88"/>
      <c r="Z88"/>
      <c r="AA88"/>
      <c r="AF88"/>
      <c r="AG88"/>
    </row>
    <row r="89" spans="1:37" s="466" customFormat="1" x14ac:dyDescent="0.25">
      <c r="A89" s="465" t="s">
        <v>350</v>
      </c>
      <c r="B89" s="465">
        <v>1</v>
      </c>
      <c r="C89" s="465">
        <v>2</v>
      </c>
      <c r="D89" s="465">
        <v>3</v>
      </c>
      <c r="E89" s="465"/>
      <c r="F89" s="465"/>
      <c r="G89"/>
      <c r="H89"/>
      <c r="I89"/>
      <c r="J89"/>
      <c r="K89"/>
      <c r="L89"/>
      <c r="M89"/>
      <c r="N89"/>
      <c r="O89"/>
      <c r="P89"/>
      <c r="Q89"/>
      <c r="R89"/>
      <c r="S89"/>
      <c r="T89"/>
      <c r="U89"/>
      <c r="V89"/>
      <c r="W89"/>
      <c r="X89"/>
      <c r="Y89"/>
      <c r="Z89"/>
      <c r="AA89"/>
      <c r="AF89"/>
      <c r="AG89"/>
    </row>
    <row r="90" spans="1:37" s="466" customFormat="1" x14ac:dyDescent="0.25">
      <c r="A90" s="465" t="s">
        <v>204</v>
      </c>
      <c r="B90" s="465">
        <v>1</v>
      </c>
      <c r="C90" s="465">
        <v>2</v>
      </c>
      <c r="D90" s="465">
        <v>3</v>
      </c>
      <c r="E90" s="465"/>
      <c r="F90" s="465"/>
      <c r="G90"/>
      <c r="H90"/>
      <c r="I90"/>
      <c r="J90"/>
      <c r="K90"/>
      <c r="L90"/>
      <c r="M90"/>
      <c r="N90"/>
      <c r="O90"/>
      <c r="P90"/>
      <c r="Q90"/>
      <c r="R90"/>
      <c r="S90"/>
      <c r="T90"/>
      <c r="U90"/>
      <c r="V90"/>
      <c r="W90"/>
      <c r="X90"/>
      <c r="Y90"/>
      <c r="Z90"/>
      <c r="AA90"/>
      <c r="AF90"/>
      <c r="AG90"/>
    </row>
    <row r="91" spans="1:37" s="466" customFormat="1" x14ac:dyDescent="0.25">
      <c r="A91" s="465" t="s">
        <v>340</v>
      </c>
      <c r="B91" s="465">
        <v>1</v>
      </c>
      <c r="C91" s="465">
        <v>2</v>
      </c>
      <c r="D91" s="465">
        <v>3</v>
      </c>
      <c r="E91" s="465"/>
      <c r="F91" s="465"/>
      <c r="G91"/>
      <c r="H91"/>
      <c r="I91"/>
      <c r="J91"/>
      <c r="K91"/>
      <c r="L91"/>
      <c r="M91"/>
      <c r="N91"/>
      <c r="O91"/>
      <c r="P91"/>
      <c r="Q91"/>
      <c r="R91"/>
      <c r="S91"/>
      <c r="T91"/>
      <c r="U91"/>
      <c r="V91"/>
      <c r="W91"/>
      <c r="X91"/>
      <c r="Y91"/>
      <c r="Z91"/>
      <c r="AA91"/>
      <c r="AF91"/>
      <c r="AG91"/>
    </row>
    <row r="92" spans="1:37" s="466" customFormat="1" x14ac:dyDescent="0.25">
      <c r="A92" s="465" t="s">
        <v>217</v>
      </c>
      <c r="B92" s="465">
        <v>2</v>
      </c>
      <c r="C92" s="465">
        <v>3</v>
      </c>
      <c r="D92" s="465">
        <v>4</v>
      </c>
      <c r="E92" s="465">
        <v>5</v>
      </c>
      <c r="F92" s="465"/>
      <c r="G92"/>
      <c r="H92"/>
      <c r="I92"/>
      <c r="J92"/>
      <c r="L92"/>
      <c r="M92"/>
      <c r="N92"/>
      <c r="O92"/>
      <c r="P92" s="466" t="s">
        <v>570</v>
      </c>
      <c r="Q92"/>
      <c r="R92"/>
      <c r="S92"/>
      <c r="T92"/>
      <c r="U92"/>
      <c r="V92"/>
      <c r="W92"/>
      <c r="X92"/>
      <c r="Y92"/>
      <c r="Z92"/>
      <c r="AA92"/>
      <c r="AF92"/>
      <c r="AG92"/>
    </row>
    <row r="93" spans="1:37" s="466" customFormat="1" x14ac:dyDescent="0.25">
      <c r="A93" s="465" t="s">
        <v>219</v>
      </c>
      <c r="B93" s="465">
        <v>1</v>
      </c>
      <c r="C93" s="465">
        <v>2</v>
      </c>
      <c r="D93" s="465">
        <v>3</v>
      </c>
      <c r="E93" s="465"/>
      <c r="F93" s="465"/>
      <c r="G93"/>
      <c r="H93"/>
      <c r="I93"/>
      <c r="J93"/>
      <c r="K93"/>
      <c r="L93"/>
      <c r="M93"/>
      <c r="N93"/>
      <c r="O93"/>
      <c r="P93"/>
      <c r="Q93"/>
      <c r="R93"/>
      <c r="S93"/>
      <c r="T93"/>
      <c r="U93"/>
      <c r="V93"/>
      <c r="W93"/>
      <c r="X93"/>
      <c r="Y93"/>
      <c r="Z93"/>
      <c r="AA93"/>
      <c r="AF93"/>
      <c r="AG93"/>
    </row>
    <row r="94" spans="1:37" s="466" customFormat="1" x14ac:dyDescent="0.25">
      <c r="A94" s="465" t="s">
        <v>220</v>
      </c>
      <c r="B94" s="465">
        <v>1</v>
      </c>
      <c r="C94" s="465">
        <v>2</v>
      </c>
      <c r="D94" s="465">
        <v>3</v>
      </c>
      <c r="E94" s="465"/>
      <c r="F94" s="465"/>
      <c r="G94"/>
      <c r="H94"/>
      <c r="I94"/>
      <c r="J94"/>
      <c r="K94"/>
      <c r="L94"/>
      <c r="M94"/>
      <c r="N94"/>
      <c r="O94"/>
      <c r="P94"/>
      <c r="Q94"/>
      <c r="R94"/>
      <c r="S94"/>
      <c r="T94"/>
      <c r="U94"/>
      <c r="V94"/>
      <c r="W94"/>
      <c r="X94"/>
      <c r="Y94"/>
      <c r="Z94"/>
      <c r="AA94"/>
      <c r="AF94"/>
      <c r="AG94"/>
    </row>
    <row r="95" spans="1:37" s="466" customFormat="1" x14ac:dyDescent="0.25">
      <c r="A95" s="465" t="s">
        <v>221</v>
      </c>
      <c r="B95" s="465">
        <v>1</v>
      </c>
      <c r="C95" s="465">
        <v>2</v>
      </c>
      <c r="D95" s="465">
        <v>3</v>
      </c>
      <c r="E95" s="465"/>
      <c r="F95" s="465"/>
      <c r="G95"/>
      <c r="H95"/>
      <c r="I95"/>
      <c r="J95"/>
      <c r="K95"/>
      <c r="L95"/>
      <c r="M95"/>
      <c r="N95"/>
      <c r="O95"/>
      <c r="P95"/>
      <c r="Q95"/>
      <c r="R95"/>
      <c r="S95"/>
      <c r="T95"/>
      <c r="U95"/>
      <c r="V95"/>
      <c r="W95"/>
      <c r="X95"/>
      <c r="Y95"/>
      <c r="Z95"/>
      <c r="AA95"/>
      <c r="AF95"/>
      <c r="AG95"/>
    </row>
    <row r="96" spans="1:37" s="466" customFormat="1" x14ac:dyDescent="0.25">
      <c r="A96" s="465" t="s">
        <v>342</v>
      </c>
      <c r="B96" s="465">
        <v>1</v>
      </c>
      <c r="C96" s="465">
        <v>2</v>
      </c>
      <c r="D96" s="465">
        <v>3</v>
      </c>
      <c r="E96" s="465"/>
      <c r="F96" s="465"/>
      <c r="G96"/>
      <c r="H96"/>
      <c r="I96"/>
      <c r="J96"/>
      <c r="K96"/>
      <c r="L96"/>
      <c r="M96"/>
      <c r="N96"/>
      <c r="O96"/>
      <c r="P96"/>
      <c r="Q96"/>
      <c r="R96"/>
      <c r="S96"/>
      <c r="T96"/>
      <c r="U96"/>
      <c r="V96"/>
      <c r="W96"/>
      <c r="X96"/>
      <c r="Y96"/>
      <c r="Z96"/>
      <c r="AA96"/>
      <c r="AF96"/>
      <c r="AG96"/>
    </row>
    <row r="97" spans="1:33" s="466" customFormat="1" x14ac:dyDescent="0.25">
      <c r="A97" s="465" t="s">
        <v>351</v>
      </c>
      <c r="B97" s="465">
        <v>1</v>
      </c>
      <c r="C97" s="465">
        <v>2</v>
      </c>
      <c r="D97" s="465">
        <v>3</v>
      </c>
      <c r="E97" s="465"/>
      <c r="F97" s="465"/>
      <c r="G97"/>
      <c r="H97"/>
      <c r="I97"/>
      <c r="J97"/>
      <c r="K97"/>
      <c r="L97"/>
      <c r="M97"/>
      <c r="N97"/>
      <c r="O97"/>
      <c r="P97"/>
      <c r="Q97"/>
      <c r="R97"/>
      <c r="S97"/>
      <c r="T97"/>
      <c r="U97"/>
      <c r="V97"/>
      <c r="W97"/>
      <c r="X97"/>
      <c r="Y97"/>
      <c r="Z97"/>
      <c r="AA97"/>
      <c r="AF97"/>
      <c r="AG97"/>
    </row>
    <row r="98" spans="1:33" s="466" customFormat="1" x14ac:dyDescent="0.25">
      <c r="A98" s="465" t="s">
        <v>352</v>
      </c>
      <c r="B98" s="465">
        <v>1</v>
      </c>
      <c r="C98" s="465">
        <v>2</v>
      </c>
      <c r="D98" s="465">
        <v>3</v>
      </c>
      <c r="E98" s="465"/>
      <c r="F98" s="465"/>
      <c r="G98"/>
      <c r="H98"/>
      <c r="I98"/>
      <c r="J98"/>
      <c r="K98"/>
      <c r="L98"/>
      <c r="M98"/>
      <c r="N98"/>
      <c r="O98"/>
      <c r="P98"/>
      <c r="Q98"/>
      <c r="R98"/>
      <c r="S98"/>
      <c r="T98"/>
      <c r="U98"/>
      <c r="V98"/>
      <c r="W98"/>
      <c r="X98"/>
      <c r="Y98"/>
      <c r="Z98"/>
      <c r="AA98"/>
      <c r="AF98"/>
      <c r="AG98"/>
    </row>
    <row r="99" spans="1:33" s="466" customFormat="1" x14ac:dyDescent="0.25">
      <c r="A99" s="465" t="s">
        <v>337</v>
      </c>
      <c r="B99" s="465">
        <v>1</v>
      </c>
      <c r="C99" s="465">
        <v>2</v>
      </c>
      <c r="D99" s="465">
        <v>3</v>
      </c>
      <c r="E99" s="465"/>
      <c r="F99" s="465"/>
      <c r="G99"/>
      <c r="H99"/>
      <c r="I99"/>
      <c r="J99"/>
      <c r="K99"/>
      <c r="L99"/>
      <c r="M99"/>
      <c r="N99"/>
      <c r="O99"/>
      <c r="P99"/>
      <c r="Q99"/>
      <c r="R99"/>
      <c r="S99"/>
      <c r="T99"/>
      <c r="U99"/>
      <c r="V99"/>
      <c r="W99"/>
      <c r="X99"/>
      <c r="Y99"/>
      <c r="Z99"/>
      <c r="AA99"/>
      <c r="AF99"/>
      <c r="AG99"/>
    </row>
    <row r="100" spans="1:33" s="466" customFormat="1" x14ac:dyDescent="0.25">
      <c r="A100" s="465" t="s">
        <v>338</v>
      </c>
      <c r="B100" s="465">
        <v>1</v>
      </c>
      <c r="C100" s="465">
        <v>2</v>
      </c>
      <c r="D100" s="465">
        <v>3</v>
      </c>
      <c r="E100" s="465"/>
      <c r="F100" s="465"/>
      <c r="G100"/>
      <c r="H100"/>
      <c r="I100"/>
      <c r="J100"/>
      <c r="K100"/>
      <c r="L100"/>
      <c r="M100"/>
      <c r="N100"/>
      <c r="O100"/>
      <c r="P100"/>
      <c r="Q100"/>
      <c r="R100"/>
      <c r="S100"/>
      <c r="T100"/>
      <c r="U100"/>
      <c r="V100"/>
      <c r="W100"/>
      <c r="X100"/>
      <c r="Y100"/>
      <c r="Z100"/>
      <c r="AA100"/>
      <c r="AF100"/>
      <c r="AG100"/>
    </row>
    <row r="101" spans="1:33" s="466" customFormat="1" x14ac:dyDescent="0.25">
      <c r="A101" s="465" t="s">
        <v>341</v>
      </c>
      <c r="B101" s="465">
        <v>1</v>
      </c>
      <c r="C101" s="465">
        <v>2</v>
      </c>
      <c r="D101" s="465">
        <v>3</v>
      </c>
      <c r="E101" s="465"/>
      <c r="F101" s="465"/>
      <c r="G101"/>
      <c r="H101"/>
      <c r="I101"/>
      <c r="J101"/>
      <c r="K101"/>
      <c r="L101"/>
      <c r="M101"/>
      <c r="N101"/>
      <c r="O101"/>
      <c r="P101"/>
      <c r="Q101"/>
      <c r="R101"/>
      <c r="S101"/>
      <c r="T101"/>
      <c r="U101"/>
      <c r="V101"/>
      <c r="W101"/>
      <c r="X101"/>
      <c r="Y101"/>
      <c r="Z101"/>
      <c r="AA101"/>
      <c r="AF101"/>
      <c r="AG101"/>
    </row>
    <row r="102" spans="1:33" s="466" customFormat="1" x14ac:dyDescent="0.25">
      <c r="A102" s="465" t="s">
        <v>244</v>
      </c>
      <c r="B102" s="465">
        <v>1</v>
      </c>
      <c r="C102" s="465">
        <v>2</v>
      </c>
      <c r="D102" s="465">
        <v>3</v>
      </c>
      <c r="E102" s="465"/>
      <c r="F102" s="465"/>
      <c r="G102"/>
      <c r="H102"/>
      <c r="I102"/>
      <c r="J102"/>
      <c r="K102"/>
      <c r="L102"/>
      <c r="M102"/>
      <c r="N102"/>
      <c r="O102"/>
      <c r="P102"/>
      <c r="Q102"/>
      <c r="R102"/>
      <c r="S102"/>
      <c r="T102"/>
      <c r="U102"/>
      <c r="V102"/>
      <c r="W102"/>
      <c r="X102"/>
      <c r="Y102"/>
      <c r="Z102"/>
      <c r="AA102"/>
      <c r="AF102"/>
      <c r="AG102"/>
    </row>
    <row r="103" spans="1:33" s="466" customFormat="1" x14ac:dyDescent="0.25">
      <c r="A103" s="465" t="s">
        <v>245</v>
      </c>
      <c r="B103" s="465">
        <v>1</v>
      </c>
      <c r="C103" s="465">
        <v>2</v>
      </c>
      <c r="D103" s="465">
        <v>3</v>
      </c>
      <c r="E103" s="465"/>
      <c r="F103" s="465"/>
      <c r="G103"/>
      <c r="H103"/>
      <c r="I103"/>
      <c r="J103"/>
      <c r="K103"/>
      <c r="L103"/>
      <c r="M103"/>
      <c r="N103"/>
      <c r="O103"/>
      <c r="P103"/>
      <c r="Q103"/>
      <c r="R103"/>
      <c r="S103"/>
      <c r="T103"/>
      <c r="U103"/>
      <c r="V103"/>
      <c r="W103"/>
      <c r="X103"/>
      <c r="Y103"/>
      <c r="Z103"/>
      <c r="AA103"/>
      <c r="AF103"/>
      <c r="AG103"/>
    </row>
    <row r="104" spans="1:33" s="466" customFormat="1" x14ac:dyDescent="0.25">
      <c r="A104" s="465" t="s">
        <v>250</v>
      </c>
      <c r="B104" s="465">
        <v>1</v>
      </c>
      <c r="C104" s="465">
        <v>2</v>
      </c>
      <c r="D104" s="465">
        <v>3</v>
      </c>
      <c r="E104" s="465"/>
      <c r="F104" s="465"/>
      <c r="G104"/>
      <c r="H104"/>
      <c r="I104"/>
      <c r="J104"/>
      <c r="K104"/>
      <c r="L104"/>
      <c r="M104"/>
      <c r="N104"/>
      <c r="O104"/>
      <c r="P104"/>
      <c r="Q104"/>
      <c r="R104"/>
      <c r="S104"/>
      <c r="T104"/>
      <c r="U104"/>
      <c r="V104"/>
      <c r="W104"/>
      <c r="X104"/>
      <c r="Y104"/>
      <c r="Z104"/>
      <c r="AA104"/>
      <c r="AF104"/>
      <c r="AG104"/>
    </row>
    <row r="105" spans="1:33" s="466" customFormat="1" x14ac:dyDescent="0.25">
      <c r="A105" s="465" t="s">
        <v>253</v>
      </c>
      <c r="B105" s="465">
        <v>1</v>
      </c>
      <c r="C105" s="465">
        <v>2</v>
      </c>
      <c r="D105" s="465">
        <v>3</v>
      </c>
      <c r="E105" s="465"/>
      <c r="F105" s="465"/>
      <c r="G105"/>
      <c r="H105"/>
      <c r="I105"/>
      <c r="J105"/>
      <c r="K105"/>
      <c r="L105"/>
      <c r="M105"/>
      <c r="N105"/>
      <c r="O105"/>
      <c r="P105"/>
      <c r="Q105"/>
      <c r="R105"/>
      <c r="S105"/>
      <c r="T105"/>
      <c r="U105"/>
      <c r="V105"/>
      <c r="W105"/>
      <c r="X105"/>
      <c r="Y105"/>
      <c r="Z105"/>
      <c r="AA105"/>
      <c r="AF105"/>
      <c r="AG105"/>
    </row>
    <row r="106" spans="1:33" s="466" customFormat="1" x14ac:dyDescent="0.25">
      <c r="A106" s="465" t="s">
        <v>343</v>
      </c>
      <c r="B106" s="465">
        <v>1</v>
      </c>
      <c r="C106" s="465">
        <v>2</v>
      </c>
      <c r="D106" s="465">
        <v>3</v>
      </c>
      <c r="E106" s="465"/>
      <c r="F106" s="465"/>
      <c r="G106"/>
      <c r="H106"/>
      <c r="I106"/>
      <c r="J106"/>
      <c r="K106"/>
      <c r="L106"/>
      <c r="M106"/>
      <c r="N106"/>
      <c r="O106"/>
      <c r="P106"/>
      <c r="Q106"/>
      <c r="R106"/>
      <c r="S106"/>
      <c r="T106"/>
      <c r="U106"/>
      <c r="V106"/>
      <c r="W106"/>
      <c r="X106"/>
      <c r="Y106"/>
      <c r="Z106"/>
      <c r="AA106"/>
      <c r="AF106"/>
      <c r="AG106"/>
    </row>
    <row r="107" spans="1:33" s="466" customFormat="1" x14ac:dyDescent="0.25">
      <c r="A107" s="465" t="s">
        <v>344</v>
      </c>
      <c r="B107" s="465">
        <v>1</v>
      </c>
      <c r="C107" s="465">
        <v>2</v>
      </c>
      <c r="D107" s="465">
        <v>3</v>
      </c>
      <c r="E107" s="465"/>
      <c r="F107" s="465"/>
      <c r="G107"/>
      <c r="H107"/>
      <c r="I107"/>
      <c r="J107"/>
      <c r="K107"/>
      <c r="L107"/>
      <c r="M107"/>
      <c r="N107"/>
      <c r="O107"/>
      <c r="P107"/>
      <c r="Q107"/>
      <c r="R107"/>
      <c r="S107"/>
      <c r="T107"/>
      <c r="U107"/>
      <c r="V107"/>
      <c r="W107"/>
      <c r="X107"/>
      <c r="Y107"/>
      <c r="Z107"/>
      <c r="AA107"/>
      <c r="AF107"/>
      <c r="AG107"/>
    </row>
    <row r="108" spans="1:33" s="466" customFormat="1" x14ac:dyDescent="0.25">
      <c r="A108" s="465" t="s">
        <v>256</v>
      </c>
      <c r="B108" s="465">
        <v>1</v>
      </c>
      <c r="C108" s="465">
        <v>2</v>
      </c>
      <c r="D108" s="465">
        <v>3</v>
      </c>
      <c r="E108" s="465"/>
      <c r="F108" s="465"/>
      <c r="G108"/>
      <c r="H108"/>
      <c r="I108"/>
      <c r="J108"/>
      <c r="K108"/>
      <c r="L108"/>
      <c r="M108"/>
      <c r="N108"/>
      <c r="O108"/>
      <c r="P108"/>
      <c r="Q108"/>
      <c r="R108"/>
      <c r="S108"/>
      <c r="T108"/>
      <c r="U108"/>
      <c r="V108"/>
      <c r="W108"/>
      <c r="X108"/>
      <c r="Y108"/>
      <c r="Z108"/>
      <c r="AA108"/>
      <c r="AF108"/>
      <c r="AG108"/>
    </row>
    <row r="109" spans="1:33" s="466" customFormat="1" x14ac:dyDescent="0.25">
      <c r="A109" s="465" t="s">
        <v>257</v>
      </c>
      <c r="B109" s="465">
        <v>1</v>
      </c>
      <c r="C109" s="465">
        <v>2</v>
      </c>
      <c r="D109" s="465">
        <v>3</v>
      </c>
      <c r="E109" s="465"/>
      <c r="F109" s="465"/>
      <c r="G109"/>
      <c r="H109"/>
      <c r="I109"/>
      <c r="J109"/>
      <c r="K109"/>
      <c r="L109"/>
      <c r="M109"/>
      <c r="N109"/>
      <c r="O109"/>
      <c r="P109"/>
      <c r="Q109"/>
      <c r="R109"/>
      <c r="S109"/>
      <c r="T109"/>
      <c r="U109"/>
      <c r="V109"/>
      <c r="W109"/>
      <c r="X109"/>
      <c r="Y109"/>
      <c r="Z109"/>
      <c r="AA109"/>
      <c r="AF109"/>
      <c r="AG109"/>
    </row>
    <row r="110" spans="1:33" s="466" customFormat="1" x14ac:dyDescent="0.25">
      <c r="A110" s="465" t="s">
        <v>262</v>
      </c>
      <c r="B110" s="465">
        <v>1</v>
      </c>
      <c r="C110" s="465">
        <v>2</v>
      </c>
      <c r="D110" s="465">
        <v>3</v>
      </c>
      <c r="E110" s="465"/>
      <c r="F110" s="465"/>
      <c r="G110"/>
      <c r="H110"/>
      <c r="I110"/>
      <c r="J110"/>
      <c r="K110"/>
      <c r="L110"/>
      <c r="M110"/>
      <c r="N110"/>
      <c r="O110"/>
      <c r="P110"/>
      <c r="Q110"/>
      <c r="R110"/>
      <c r="S110"/>
      <c r="T110"/>
      <c r="U110"/>
      <c r="V110"/>
      <c r="W110"/>
      <c r="X110"/>
      <c r="Y110"/>
      <c r="Z110"/>
      <c r="AA110"/>
      <c r="AF110"/>
      <c r="AG110"/>
    </row>
    <row r="111" spans="1:33" s="466" customFormat="1" x14ac:dyDescent="0.25">
      <c r="A111" s="465" t="s">
        <v>345</v>
      </c>
      <c r="B111" s="465">
        <v>1</v>
      </c>
      <c r="C111" s="465">
        <v>2</v>
      </c>
      <c r="D111" s="465">
        <v>3</v>
      </c>
      <c r="E111" s="465"/>
      <c r="F111" s="465"/>
      <c r="G111"/>
      <c r="H111"/>
      <c r="I111"/>
      <c r="J111"/>
      <c r="K111"/>
      <c r="L111"/>
      <c r="M111"/>
      <c r="N111"/>
      <c r="O111"/>
      <c r="P111"/>
      <c r="Q111"/>
      <c r="R111"/>
      <c r="S111"/>
      <c r="T111"/>
      <c r="U111"/>
      <c r="V111"/>
      <c r="W111"/>
      <c r="X111"/>
      <c r="Y111"/>
      <c r="Z111"/>
      <c r="AA111"/>
      <c r="AF111"/>
      <c r="AG111"/>
    </row>
    <row r="112" spans="1:33" s="466" customFormat="1" x14ac:dyDescent="0.25">
      <c r="A112" s="465" t="s">
        <v>263</v>
      </c>
      <c r="B112" s="465">
        <v>1</v>
      </c>
      <c r="C112" s="465">
        <v>2</v>
      </c>
      <c r="D112" s="465">
        <v>3</v>
      </c>
      <c r="E112" s="465"/>
      <c r="F112" s="465"/>
      <c r="G112"/>
      <c r="H112"/>
      <c r="I112"/>
      <c r="J112"/>
      <c r="K112"/>
      <c r="L112"/>
      <c r="M112"/>
      <c r="N112"/>
      <c r="O112"/>
      <c r="P112"/>
      <c r="Q112"/>
      <c r="R112"/>
      <c r="S112"/>
      <c r="T112"/>
      <c r="U112"/>
      <c r="V112"/>
      <c r="W112"/>
      <c r="X112"/>
      <c r="Y112"/>
      <c r="Z112"/>
      <c r="AA112"/>
      <c r="AF112"/>
      <c r="AG112"/>
    </row>
    <row r="113" spans="1:33" s="466" customFormat="1" x14ac:dyDescent="0.25">
      <c r="A113" s="465" t="s">
        <v>346</v>
      </c>
      <c r="B113" s="465">
        <v>1</v>
      </c>
      <c r="C113" s="465">
        <v>2</v>
      </c>
      <c r="D113" s="465">
        <v>3</v>
      </c>
      <c r="E113" s="465"/>
      <c r="F113" s="465"/>
      <c r="G113"/>
      <c r="H113"/>
      <c r="I113"/>
      <c r="J113"/>
      <c r="K113"/>
      <c r="L113"/>
      <c r="M113"/>
      <c r="N113"/>
      <c r="O113"/>
      <c r="P113"/>
      <c r="Q113"/>
      <c r="R113"/>
      <c r="S113"/>
      <c r="T113"/>
      <c r="U113"/>
      <c r="V113"/>
      <c r="W113"/>
      <c r="X113"/>
      <c r="Y113"/>
      <c r="Z113"/>
      <c r="AA113"/>
      <c r="AF113"/>
      <c r="AG113"/>
    </row>
    <row r="114" spans="1:33" s="466" customFormat="1" x14ac:dyDescent="0.25">
      <c r="A114" s="465" t="s">
        <v>348</v>
      </c>
      <c r="B114" s="465">
        <v>1</v>
      </c>
      <c r="C114" s="465">
        <v>2</v>
      </c>
      <c r="D114" s="465">
        <v>3</v>
      </c>
      <c r="E114" s="465"/>
      <c r="F114" s="465"/>
      <c r="G114"/>
      <c r="H114"/>
      <c r="I114"/>
      <c r="J114"/>
      <c r="K114"/>
      <c r="L114"/>
      <c r="M114"/>
      <c r="N114"/>
      <c r="O114"/>
      <c r="P114"/>
      <c r="Q114"/>
      <c r="R114"/>
      <c r="S114"/>
      <c r="T114"/>
      <c r="U114"/>
      <c r="V114"/>
      <c r="W114"/>
      <c r="X114"/>
      <c r="Y114"/>
      <c r="Z114"/>
      <c r="AA114"/>
      <c r="AF114"/>
      <c r="AG114"/>
    </row>
    <row r="115" spans="1:33" s="466" customFormat="1" x14ac:dyDescent="0.25">
      <c r="A115" s="465" t="s">
        <v>349</v>
      </c>
      <c r="B115" s="465">
        <v>1</v>
      </c>
      <c r="C115" s="465">
        <v>2</v>
      </c>
      <c r="D115" s="465">
        <v>3</v>
      </c>
      <c r="E115" s="465"/>
      <c r="F115" s="465"/>
      <c r="G115"/>
      <c r="H115"/>
      <c r="I115"/>
      <c r="J115"/>
      <c r="K115"/>
      <c r="L115"/>
      <c r="M115"/>
      <c r="N115"/>
      <c r="O115"/>
      <c r="P115"/>
      <c r="Q115"/>
      <c r="R115"/>
      <c r="S115"/>
      <c r="T115"/>
      <c r="U115"/>
      <c r="V115"/>
      <c r="W115"/>
      <c r="X115"/>
      <c r="Y115"/>
      <c r="Z115"/>
      <c r="AA115"/>
      <c r="AF115"/>
      <c r="AG115"/>
    </row>
    <row r="116" spans="1:33" s="466" customFormat="1" x14ac:dyDescent="0.25">
      <c r="A116" s="465"/>
      <c r="B116" s="465"/>
      <c r="C116" s="465"/>
      <c r="D116" s="465"/>
      <c r="E116" s="465"/>
      <c r="F116" s="465"/>
      <c r="G116"/>
      <c r="H116"/>
      <c r="I116"/>
      <c r="J116"/>
      <c r="K116"/>
      <c r="L116"/>
      <c r="M116"/>
      <c r="N116"/>
      <c r="O116"/>
      <c r="P116"/>
      <c r="Q116"/>
      <c r="R116"/>
      <c r="S116"/>
      <c r="T116"/>
      <c r="U116"/>
      <c r="V116"/>
      <c r="W116"/>
      <c r="X116"/>
      <c r="Y116"/>
      <c r="Z116"/>
      <c r="AA116"/>
      <c r="AF116"/>
      <c r="AG116"/>
    </row>
    <row r="117" spans="1:33" s="466" customFormat="1" x14ac:dyDescent="0.25">
      <c r="A117" s="465"/>
      <c r="B117" s="465"/>
      <c r="C117" s="465"/>
      <c r="D117" s="465"/>
      <c r="E117" s="465"/>
      <c r="F117" s="465"/>
      <c r="G117"/>
      <c r="H117"/>
      <c r="I117"/>
      <c r="J117"/>
      <c r="K117"/>
      <c r="L117"/>
      <c r="M117"/>
      <c r="N117"/>
      <c r="O117"/>
      <c r="P117"/>
      <c r="Q117"/>
      <c r="R117"/>
      <c r="S117"/>
      <c r="T117"/>
      <c r="U117"/>
      <c r="V117"/>
      <c r="W117"/>
      <c r="X117"/>
      <c r="Y117"/>
      <c r="Z117"/>
      <c r="AA117"/>
      <c r="AF117"/>
      <c r="AG117"/>
    </row>
    <row r="118" spans="1:33" s="466" customFormat="1" x14ac:dyDescent="0.25">
      <c r="A118" s="465"/>
      <c r="B118" s="465"/>
      <c r="C118" s="465"/>
      <c r="D118" s="465"/>
      <c r="E118" s="465"/>
      <c r="F118" s="465"/>
      <c r="G118"/>
      <c r="H118"/>
      <c r="I118"/>
      <c r="J118"/>
      <c r="K118"/>
      <c r="L118"/>
      <c r="M118"/>
      <c r="N118"/>
      <c r="O118"/>
      <c r="P118"/>
      <c r="Q118"/>
      <c r="R118"/>
      <c r="S118"/>
      <c r="T118"/>
      <c r="U118"/>
      <c r="V118"/>
      <c r="W118"/>
      <c r="X118"/>
      <c r="Y118"/>
      <c r="Z118"/>
      <c r="AA118"/>
      <c r="AF118"/>
      <c r="AG118"/>
    </row>
    <row r="119" spans="1:33" s="466" customFormat="1" x14ac:dyDescent="0.25">
      <c r="A119" s="465"/>
      <c r="B119" s="465"/>
      <c r="C119" s="465"/>
      <c r="D119" s="465"/>
      <c r="E119" s="465"/>
      <c r="F119" s="465"/>
      <c r="G119"/>
      <c r="H119"/>
      <c r="I119"/>
      <c r="J119"/>
      <c r="K119"/>
      <c r="L119"/>
      <c r="M119"/>
      <c r="N119"/>
      <c r="O119"/>
      <c r="P119"/>
      <c r="Q119"/>
      <c r="R119"/>
      <c r="S119"/>
      <c r="T119"/>
      <c r="U119"/>
      <c r="V119"/>
      <c r="W119"/>
      <c r="X119"/>
      <c r="Y119"/>
      <c r="Z119"/>
      <c r="AA119"/>
      <c r="AF119"/>
      <c r="AG119"/>
    </row>
    <row r="120" spans="1:33" s="466" customFormat="1" x14ac:dyDescent="0.25">
      <c r="A120" s="465"/>
      <c r="B120" s="465"/>
      <c r="C120" s="465"/>
      <c r="D120" s="465"/>
      <c r="E120" s="465"/>
      <c r="F120" s="465"/>
      <c r="G120"/>
      <c r="H120"/>
      <c r="I120"/>
      <c r="J120"/>
      <c r="K120"/>
      <c r="L120"/>
      <c r="M120"/>
      <c r="N120"/>
      <c r="O120"/>
      <c r="P120"/>
      <c r="Q120"/>
      <c r="R120"/>
      <c r="S120"/>
      <c r="T120"/>
      <c r="U120"/>
      <c r="V120"/>
      <c r="W120"/>
      <c r="X120"/>
      <c r="Y120"/>
      <c r="Z120"/>
      <c r="AA120"/>
      <c r="AF120"/>
      <c r="AG120"/>
    </row>
    <row r="121" spans="1:33" s="466" customFormat="1" x14ac:dyDescent="0.25">
      <c r="A121" s="465"/>
      <c r="B121" s="465"/>
      <c r="C121" s="465"/>
      <c r="D121" s="465"/>
      <c r="E121" s="465"/>
      <c r="F121" s="465"/>
      <c r="G121"/>
      <c r="H121"/>
      <c r="I121"/>
      <c r="J121"/>
      <c r="K121"/>
      <c r="L121"/>
      <c r="M121"/>
      <c r="N121"/>
      <c r="O121"/>
      <c r="P121"/>
      <c r="Q121"/>
      <c r="R121"/>
      <c r="S121"/>
      <c r="T121"/>
      <c r="U121"/>
      <c r="V121"/>
      <c r="W121"/>
      <c r="X121"/>
      <c r="Y121"/>
      <c r="Z121"/>
      <c r="AA121"/>
      <c r="AF121"/>
      <c r="AG121"/>
    </row>
    <row r="122" spans="1:33" s="466" customFormat="1" x14ac:dyDescent="0.25">
      <c r="A122" s="465"/>
      <c r="B122" s="465"/>
      <c r="C122" s="465"/>
      <c r="D122" s="465"/>
      <c r="E122" s="465"/>
      <c r="F122" s="465"/>
      <c r="G122"/>
      <c r="H122"/>
      <c r="I122"/>
      <c r="J122"/>
      <c r="K122"/>
      <c r="L122"/>
      <c r="M122"/>
      <c r="N122"/>
      <c r="O122"/>
      <c r="P122"/>
      <c r="Q122"/>
      <c r="R122"/>
      <c r="S122"/>
      <c r="T122"/>
      <c r="U122"/>
      <c r="V122"/>
      <c r="W122"/>
      <c r="X122"/>
      <c r="Y122"/>
      <c r="Z122"/>
      <c r="AA122"/>
      <c r="AF122"/>
      <c r="AG122"/>
    </row>
    <row r="123" spans="1:33" s="466" customFormat="1" x14ac:dyDescent="0.25">
      <c r="A123" s="465"/>
      <c r="B123" s="465"/>
      <c r="C123" s="465"/>
      <c r="D123" s="465"/>
      <c r="E123" s="465"/>
      <c r="F123" s="465"/>
      <c r="G123"/>
      <c r="H123"/>
      <c r="I123"/>
      <c r="J123"/>
      <c r="K123"/>
      <c r="L123"/>
      <c r="M123"/>
      <c r="N123"/>
      <c r="O123"/>
      <c r="P123"/>
      <c r="Q123"/>
      <c r="R123"/>
      <c r="S123"/>
      <c r="T123"/>
      <c r="U123"/>
      <c r="V123"/>
      <c r="W123"/>
      <c r="X123"/>
      <c r="Y123"/>
      <c r="Z123"/>
      <c r="AA123"/>
      <c r="AF123"/>
      <c r="AG123"/>
    </row>
    <row r="124" spans="1:33" s="466" customFormat="1" x14ac:dyDescent="0.25">
      <c r="A124"/>
      <c r="B124"/>
      <c r="C124"/>
      <c r="D124"/>
      <c r="E124"/>
      <c r="F124"/>
      <c r="G124"/>
      <c r="H124"/>
      <c r="I124"/>
      <c r="J124"/>
      <c r="K124"/>
      <c r="L124"/>
      <c r="M124"/>
      <c r="N124"/>
      <c r="O124"/>
      <c r="P124"/>
      <c r="Q124"/>
      <c r="R124"/>
      <c r="S124"/>
      <c r="T124"/>
      <c r="U124"/>
      <c r="V124"/>
      <c r="W124"/>
      <c r="X124"/>
      <c r="Y124"/>
      <c r="Z124"/>
      <c r="AA124"/>
      <c r="AF124"/>
      <c r="AG124"/>
    </row>
    <row r="125" spans="1:33" s="466" customFormat="1" x14ac:dyDescent="0.25">
      <c r="A125"/>
      <c r="B125"/>
      <c r="C125"/>
      <c r="D125"/>
      <c r="E125"/>
      <c r="F125"/>
      <c r="G125"/>
      <c r="H125"/>
      <c r="I125"/>
      <c r="J125"/>
      <c r="K125"/>
      <c r="L125"/>
      <c r="M125"/>
      <c r="N125"/>
      <c r="O125"/>
      <c r="P125"/>
      <c r="Q125"/>
      <c r="R125"/>
      <c r="S125"/>
      <c r="T125"/>
      <c r="U125"/>
      <c r="V125"/>
      <c r="W125"/>
      <c r="X125"/>
      <c r="Y125"/>
      <c r="Z125"/>
      <c r="AA125"/>
      <c r="AF125"/>
      <c r="AG125"/>
    </row>
    <row r="126" spans="1:33" s="466" customFormat="1" x14ac:dyDescent="0.25">
      <c r="A126"/>
      <c r="B126"/>
      <c r="C126"/>
      <c r="D126"/>
      <c r="E126"/>
      <c r="F126"/>
      <c r="G126"/>
      <c r="H126"/>
      <c r="I126"/>
      <c r="J126"/>
      <c r="K126"/>
      <c r="L126"/>
      <c r="M126"/>
      <c r="N126"/>
      <c r="O126"/>
      <c r="P126"/>
      <c r="Q126"/>
      <c r="R126"/>
      <c r="S126"/>
      <c r="T126"/>
      <c r="U126"/>
      <c r="V126"/>
      <c r="W126"/>
      <c r="X126"/>
      <c r="Y126"/>
      <c r="Z126"/>
      <c r="AA126"/>
      <c r="AF126"/>
      <c r="AG126"/>
    </row>
    <row r="127" spans="1:33" s="466" customFormat="1" x14ac:dyDescent="0.25">
      <c r="A127"/>
      <c r="B127"/>
      <c r="C127"/>
      <c r="D127"/>
      <c r="E127"/>
      <c r="F127"/>
      <c r="G127"/>
      <c r="H127"/>
      <c r="I127"/>
      <c r="J127"/>
      <c r="K127"/>
      <c r="L127"/>
      <c r="M127"/>
      <c r="N127"/>
      <c r="O127"/>
      <c r="P127"/>
      <c r="Q127"/>
      <c r="R127"/>
      <c r="S127"/>
      <c r="T127"/>
      <c r="U127"/>
      <c r="V127"/>
      <c r="W127"/>
      <c r="X127"/>
      <c r="Y127"/>
      <c r="Z127"/>
      <c r="AA127"/>
      <c r="AF127"/>
      <c r="AG127"/>
    </row>
    <row r="128" spans="1:33" s="466" customFormat="1" x14ac:dyDescent="0.25">
      <c r="A128"/>
      <c r="B128"/>
      <c r="C128"/>
      <c r="D128"/>
      <c r="E128"/>
      <c r="F128"/>
      <c r="G128"/>
      <c r="H128"/>
      <c r="I128"/>
      <c r="J128"/>
      <c r="K128"/>
      <c r="L128"/>
      <c r="M128"/>
      <c r="N128"/>
      <c r="O128"/>
      <c r="P128"/>
      <c r="Q128"/>
      <c r="R128"/>
      <c r="S128"/>
      <c r="T128"/>
      <c r="U128"/>
      <c r="V128"/>
      <c r="W128"/>
      <c r="X128"/>
      <c r="Y128"/>
      <c r="Z128"/>
      <c r="AA128"/>
      <c r="AF128"/>
      <c r="AG128"/>
    </row>
    <row r="129" spans="1:33" s="466" customFormat="1" x14ac:dyDescent="0.25">
      <c r="A129"/>
      <c r="B129"/>
      <c r="C129"/>
      <c r="D129"/>
      <c r="E129"/>
      <c r="F129"/>
      <c r="G129"/>
      <c r="H129"/>
      <c r="I129"/>
      <c r="J129"/>
      <c r="K129"/>
      <c r="L129"/>
      <c r="M129"/>
      <c r="N129"/>
      <c r="O129"/>
      <c r="P129"/>
      <c r="Q129"/>
      <c r="R129"/>
      <c r="S129"/>
      <c r="T129"/>
      <c r="U129"/>
      <c r="V129"/>
      <c r="W129"/>
      <c r="X129"/>
      <c r="Y129"/>
      <c r="Z129"/>
      <c r="AA129"/>
      <c r="AF129"/>
      <c r="AG129"/>
    </row>
    <row r="130" spans="1:33" s="466" customFormat="1" x14ac:dyDescent="0.25">
      <c r="A130"/>
      <c r="B130"/>
      <c r="C130"/>
      <c r="D130"/>
      <c r="E130"/>
      <c r="F130"/>
      <c r="G130"/>
      <c r="H130"/>
      <c r="I130"/>
      <c r="J130"/>
      <c r="K130"/>
      <c r="L130"/>
      <c r="M130"/>
      <c r="N130"/>
      <c r="O130"/>
      <c r="P130"/>
      <c r="Q130"/>
      <c r="R130"/>
      <c r="S130"/>
      <c r="T130"/>
      <c r="U130"/>
      <c r="V130"/>
      <c r="W130"/>
      <c r="X130"/>
      <c r="Y130"/>
      <c r="Z130"/>
      <c r="AA130"/>
      <c r="AF130"/>
      <c r="AG130"/>
    </row>
    <row r="131" spans="1:33" s="466" customFormat="1" x14ac:dyDescent="0.25">
      <c r="A131"/>
      <c r="B131"/>
      <c r="C131"/>
      <c r="D131"/>
      <c r="E131"/>
      <c r="F131"/>
      <c r="G131"/>
      <c r="H131"/>
      <c r="I131"/>
      <c r="J131"/>
      <c r="K131"/>
      <c r="L131"/>
      <c r="M131"/>
      <c r="N131"/>
      <c r="O131"/>
      <c r="P131"/>
      <c r="Q131"/>
      <c r="R131"/>
      <c r="S131"/>
      <c r="T131"/>
      <c r="U131"/>
      <c r="V131"/>
      <c r="W131"/>
      <c r="X131"/>
      <c r="Y131"/>
      <c r="Z131"/>
      <c r="AA131"/>
      <c r="AF131"/>
      <c r="AG131"/>
    </row>
    <row r="132" spans="1:33" s="466" customFormat="1" x14ac:dyDescent="0.25">
      <c r="A132"/>
      <c r="B132"/>
      <c r="C132"/>
      <c r="D132"/>
      <c r="E132"/>
      <c r="F132"/>
      <c r="G132"/>
      <c r="H132"/>
      <c r="I132"/>
      <c r="J132"/>
      <c r="K132"/>
      <c r="L132"/>
      <c r="M132"/>
      <c r="N132"/>
      <c r="O132"/>
      <c r="P132"/>
      <c r="Q132"/>
      <c r="R132"/>
      <c r="S132"/>
      <c r="T132"/>
      <c r="U132"/>
      <c r="V132"/>
      <c r="W132"/>
      <c r="X132"/>
      <c r="Y132"/>
      <c r="Z132"/>
      <c r="AA132"/>
      <c r="AF132"/>
      <c r="AG132"/>
    </row>
    <row r="133" spans="1:33" s="466" customFormat="1" x14ac:dyDescent="0.25">
      <c r="A133"/>
      <c r="B133"/>
      <c r="C133"/>
      <c r="D133"/>
      <c r="E133"/>
      <c r="F133"/>
      <c r="G133"/>
      <c r="H133"/>
      <c r="I133"/>
      <c r="J133"/>
      <c r="K133"/>
      <c r="L133"/>
      <c r="M133"/>
      <c r="N133"/>
      <c r="O133"/>
      <c r="P133"/>
      <c r="Q133"/>
      <c r="R133"/>
      <c r="S133"/>
      <c r="T133"/>
      <c r="U133"/>
      <c r="V133"/>
      <c r="W133"/>
      <c r="X133"/>
      <c r="Y133"/>
      <c r="Z133"/>
      <c r="AA133"/>
      <c r="AF133"/>
      <c r="AG133"/>
    </row>
    <row r="134" spans="1:33" s="466" customFormat="1" x14ac:dyDescent="0.25">
      <c r="A134"/>
      <c r="B134"/>
      <c r="C134"/>
      <c r="D134"/>
      <c r="E134"/>
      <c r="F134"/>
      <c r="G134"/>
      <c r="H134"/>
      <c r="I134"/>
      <c r="J134"/>
      <c r="K134"/>
      <c r="L134"/>
      <c r="M134"/>
      <c r="N134"/>
      <c r="O134"/>
      <c r="P134"/>
      <c r="Q134"/>
      <c r="R134"/>
      <c r="S134"/>
      <c r="T134"/>
      <c r="U134"/>
      <c r="V134"/>
      <c r="W134"/>
      <c r="X134"/>
      <c r="Y134"/>
      <c r="Z134"/>
      <c r="AA134"/>
      <c r="AF134"/>
      <c r="AG134"/>
    </row>
    <row r="135" spans="1:33" s="466" customFormat="1" x14ac:dyDescent="0.25">
      <c r="A135"/>
      <c r="B135"/>
      <c r="C135"/>
      <c r="D135"/>
      <c r="E135"/>
      <c r="F135"/>
      <c r="G135"/>
      <c r="H135"/>
      <c r="I135"/>
      <c r="J135"/>
      <c r="K135"/>
      <c r="L135"/>
      <c r="M135"/>
      <c r="N135"/>
      <c r="O135"/>
      <c r="P135"/>
      <c r="Q135"/>
      <c r="R135"/>
      <c r="S135"/>
      <c r="T135"/>
      <c r="U135"/>
      <c r="V135"/>
      <c r="W135"/>
      <c r="X135"/>
      <c r="Y135"/>
      <c r="Z135"/>
      <c r="AA135"/>
      <c r="AF135"/>
      <c r="AG135"/>
    </row>
    <row r="136" spans="1:33" s="466" customFormat="1" x14ac:dyDescent="0.25">
      <c r="A136"/>
      <c r="B136"/>
      <c r="C136"/>
      <c r="D136"/>
      <c r="E136"/>
      <c r="F136"/>
      <c r="G136"/>
      <c r="H136"/>
      <c r="I136"/>
      <c r="J136"/>
      <c r="K136"/>
      <c r="L136"/>
      <c r="M136"/>
      <c r="N136"/>
      <c r="O136"/>
      <c r="P136"/>
      <c r="Q136"/>
      <c r="R136"/>
      <c r="S136"/>
      <c r="T136"/>
      <c r="U136"/>
      <c r="V136"/>
      <c r="W136"/>
      <c r="X136"/>
      <c r="Y136"/>
      <c r="Z136"/>
      <c r="AA136"/>
      <c r="AF136"/>
      <c r="AG136"/>
    </row>
    <row r="137" spans="1:33" s="466" customFormat="1" x14ac:dyDescent="0.25">
      <c r="A137"/>
      <c r="B137"/>
      <c r="C137"/>
      <c r="D137"/>
      <c r="E137"/>
      <c r="F137"/>
      <c r="G137"/>
      <c r="H137"/>
      <c r="I137"/>
      <c r="J137"/>
      <c r="K137"/>
      <c r="L137"/>
      <c r="M137"/>
      <c r="N137"/>
      <c r="O137"/>
      <c r="P137"/>
      <c r="Q137"/>
      <c r="R137"/>
      <c r="S137"/>
      <c r="T137"/>
      <c r="U137"/>
      <c r="V137"/>
      <c r="W137"/>
      <c r="X137"/>
      <c r="Y137"/>
      <c r="Z137"/>
      <c r="AA137"/>
      <c r="AF137"/>
      <c r="AG137"/>
    </row>
    <row r="138" spans="1:33" s="466" customFormat="1" x14ac:dyDescent="0.25">
      <c r="A138"/>
      <c r="B138"/>
      <c r="C138"/>
      <c r="D138"/>
      <c r="E138"/>
      <c r="F138"/>
      <c r="G138"/>
      <c r="H138"/>
      <c r="I138"/>
      <c r="J138"/>
      <c r="K138"/>
      <c r="L138"/>
      <c r="M138"/>
      <c r="N138"/>
      <c r="O138"/>
      <c r="P138"/>
      <c r="Q138"/>
      <c r="R138"/>
      <c r="S138"/>
      <c r="T138"/>
      <c r="U138"/>
      <c r="V138"/>
      <c r="W138"/>
      <c r="X138"/>
      <c r="Y138"/>
      <c r="Z138"/>
      <c r="AA138"/>
      <c r="AF138"/>
      <c r="AG138"/>
    </row>
    <row r="139" spans="1:33" s="466" customFormat="1" x14ac:dyDescent="0.25">
      <c r="A139"/>
      <c r="B139"/>
      <c r="C139"/>
      <c r="D139"/>
      <c r="E139"/>
      <c r="F139"/>
      <c r="G139"/>
      <c r="H139"/>
      <c r="I139"/>
      <c r="J139"/>
      <c r="K139"/>
      <c r="L139"/>
      <c r="M139"/>
      <c r="N139"/>
      <c r="O139"/>
      <c r="P139"/>
      <c r="Q139"/>
      <c r="R139"/>
      <c r="S139"/>
      <c r="T139"/>
      <c r="U139"/>
      <c r="V139"/>
      <c r="W139"/>
      <c r="X139"/>
      <c r="Y139"/>
      <c r="Z139"/>
      <c r="AA139"/>
      <c r="AF139"/>
      <c r="AG139"/>
    </row>
    <row r="140" spans="1:33" s="466" customFormat="1" x14ac:dyDescent="0.25">
      <c r="A140"/>
      <c r="B140"/>
      <c r="C140"/>
      <c r="D140"/>
      <c r="E140"/>
      <c r="F140"/>
      <c r="G140"/>
      <c r="H140"/>
      <c r="I140"/>
      <c r="J140"/>
      <c r="K140"/>
      <c r="L140"/>
      <c r="M140"/>
      <c r="N140"/>
      <c r="O140"/>
      <c r="P140"/>
      <c r="Q140"/>
      <c r="R140"/>
      <c r="S140"/>
      <c r="T140"/>
      <c r="U140"/>
      <c r="V140"/>
      <c r="W140"/>
      <c r="X140"/>
      <c r="Y140"/>
      <c r="Z140"/>
      <c r="AA140"/>
      <c r="AF140"/>
      <c r="AG140"/>
    </row>
    <row r="141" spans="1:33" s="466" customFormat="1" x14ac:dyDescent="0.25">
      <c r="A141"/>
      <c r="B141"/>
      <c r="C141"/>
      <c r="D141"/>
      <c r="E141"/>
      <c r="F141"/>
      <c r="G141"/>
      <c r="H141"/>
      <c r="I141"/>
      <c r="J141"/>
      <c r="K141"/>
      <c r="L141"/>
      <c r="M141"/>
      <c r="N141"/>
      <c r="O141"/>
      <c r="P141"/>
      <c r="Q141"/>
      <c r="R141"/>
      <c r="S141"/>
      <c r="T141"/>
      <c r="U141"/>
      <c r="V141"/>
      <c r="W141"/>
      <c r="X141"/>
      <c r="Y141"/>
      <c r="Z141"/>
      <c r="AA141"/>
      <c r="AF141"/>
      <c r="AG141"/>
    </row>
    <row r="142" spans="1:33" s="466" customFormat="1" x14ac:dyDescent="0.25">
      <c r="A142"/>
      <c r="B142"/>
      <c r="C142"/>
      <c r="D142"/>
      <c r="E142"/>
      <c r="F142"/>
      <c r="G142"/>
      <c r="H142"/>
      <c r="I142"/>
      <c r="J142"/>
      <c r="K142"/>
      <c r="L142"/>
      <c r="M142"/>
      <c r="N142"/>
      <c r="O142"/>
      <c r="P142"/>
      <c r="Q142"/>
      <c r="R142"/>
      <c r="S142"/>
      <c r="T142"/>
      <c r="U142"/>
      <c r="V142"/>
      <c r="W142"/>
      <c r="X142"/>
      <c r="Y142"/>
      <c r="Z142"/>
      <c r="AA142"/>
      <c r="AF142"/>
      <c r="AG142"/>
    </row>
    <row r="143" spans="1:33" s="466" customFormat="1" x14ac:dyDescent="0.25">
      <c r="A143"/>
      <c r="B143"/>
      <c r="C143"/>
      <c r="D143"/>
      <c r="E143"/>
      <c r="F143"/>
      <c r="G143"/>
      <c r="H143"/>
      <c r="I143"/>
      <c r="J143"/>
      <c r="K143"/>
      <c r="L143"/>
      <c r="M143"/>
      <c r="N143"/>
      <c r="O143"/>
      <c r="P143"/>
      <c r="Q143"/>
      <c r="R143"/>
      <c r="S143"/>
      <c r="T143"/>
      <c r="U143"/>
      <c r="V143"/>
      <c r="W143"/>
      <c r="X143"/>
      <c r="Y143"/>
      <c r="Z143"/>
      <c r="AA143"/>
      <c r="AF143"/>
      <c r="AG143"/>
    </row>
    <row r="144" spans="1:33" s="466" customFormat="1" x14ac:dyDescent="0.25">
      <c r="A144"/>
      <c r="B144"/>
      <c r="C144"/>
      <c r="D144"/>
      <c r="E144"/>
      <c r="F144"/>
      <c r="G144"/>
      <c r="H144"/>
      <c r="I144"/>
      <c r="J144"/>
      <c r="K144"/>
      <c r="L144"/>
      <c r="M144"/>
      <c r="N144"/>
      <c r="O144"/>
      <c r="P144"/>
      <c r="Q144"/>
      <c r="R144"/>
      <c r="S144"/>
      <c r="T144"/>
      <c r="U144"/>
      <c r="V144"/>
      <c r="W144"/>
      <c r="X144"/>
      <c r="Y144"/>
      <c r="Z144"/>
      <c r="AA144"/>
      <c r="AF144"/>
      <c r="AG144"/>
    </row>
    <row r="145" spans="1:43" s="466" customFormat="1" x14ac:dyDescent="0.25">
      <c r="A145"/>
      <c r="B145"/>
      <c r="C145"/>
      <c r="D145"/>
      <c r="E145"/>
      <c r="F145"/>
      <c r="G145"/>
      <c r="H145"/>
      <c r="I145"/>
      <c r="J145"/>
      <c r="K145"/>
      <c r="L145"/>
      <c r="M145"/>
      <c r="N145"/>
      <c r="O145"/>
      <c r="P145"/>
      <c r="Q145"/>
      <c r="R145"/>
      <c r="S145"/>
      <c r="T145"/>
      <c r="U145"/>
      <c r="V145"/>
      <c r="W145"/>
      <c r="X145"/>
      <c r="Y145"/>
      <c r="Z145"/>
      <c r="AA145"/>
      <c r="AF145"/>
      <c r="AG145"/>
    </row>
    <row r="146" spans="1:43" s="466" customFormat="1" x14ac:dyDescent="0.25">
      <c r="A146"/>
      <c r="B146"/>
      <c r="C146"/>
      <c r="D146"/>
      <c r="E146"/>
      <c r="F146"/>
      <c r="G146"/>
      <c r="H146"/>
      <c r="I146"/>
      <c r="J146"/>
      <c r="K146"/>
      <c r="L146"/>
      <c r="M146"/>
      <c r="N146"/>
      <c r="O146"/>
      <c r="P146"/>
      <c r="Q146"/>
      <c r="R146"/>
      <c r="S146"/>
      <c r="T146"/>
      <c r="U146"/>
      <c r="V146"/>
      <c r="W146"/>
      <c r="X146"/>
      <c r="Y146"/>
      <c r="Z146"/>
      <c r="AA146"/>
      <c r="AF146"/>
      <c r="AG146"/>
    </row>
    <row r="147" spans="1:43" s="466" customFormat="1" x14ac:dyDescent="0.25">
      <c r="A147"/>
      <c r="B147"/>
      <c r="C147"/>
      <c r="D147"/>
      <c r="E147"/>
      <c r="F147"/>
      <c r="G147"/>
      <c r="H147"/>
      <c r="I147"/>
      <c r="J147"/>
      <c r="K147"/>
      <c r="L147"/>
      <c r="M147"/>
      <c r="N147"/>
      <c r="O147"/>
      <c r="P147"/>
      <c r="Q147"/>
      <c r="R147"/>
      <c r="S147"/>
      <c r="T147"/>
      <c r="U147"/>
      <c r="V147"/>
      <c r="W147"/>
      <c r="X147"/>
      <c r="Y147"/>
      <c r="Z147"/>
      <c r="AA147"/>
      <c r="AF147"/>
      <c r="AG147"/>
    </row>
    <row r="148" spans="1:43" s="466" customFormat="1" x14ac:dyDescent="0.25">
      <c r="A148"/>
      <c r="B148"/>
      <c r="C148"/>
      <c r="D148"/>
      <c r="E148"/>
      <c r="F148"/>
      <c r="G148"/>
      <c r="H148"/>
      <c r="I148"/>
      <c r="J148"/>
      <c r="K148"/>
      <c r="L148"/>
      <c r="M148"/>
      <c r="N148"/>
      <c r="O148"/>
      <c r="P148"/>
      <c r="Q148"/>
      <c r="R148"/>
      <c r="S148"/>
      <c r="T148"/>
      <c r="U148"/>
      <c r="V148"/>
      <c r="W148"/>
      <c r="X148"/>
      <c r="Y148"/>
      <c r="Z148"/>
      <c r="AA148"/>
      <c r="AF148"/>
      <c r="AG148"/>
    </row>
    <row r="149" spans="1:43" s="466" customFormat="1" x14ac:dyDescent="0.25">
      <c r="A149"/>
      <c r="B149"/>
      <c r="C149"/>
      <c r="D149"/>
      <c r="E149"/>
      <c r="F149"/>
      <c r="G149"/>
      <c r="H149"/>
      <c r="I149"/>
      <c r="J149"/>
      <c r="K149"/>
      <c r="L149"/>
      <c r="M149"/>
      <c r="N149"/>
      <c r="O149"/>
      <c r="P149"/>
      <c r="Q149"/>
      <c r="R149"/>
      <c r="S149"/>
      <c r="T149"/>
      <c r="U149"/>
      <c r="V149"/>
      <c r="W149"/>
      <c r="X149"/>
      <c r="Y149"/>
      <c r="Z149"/>
      <c r="AA149"/>
      <c r="AF149"/>
      <c r="AG149"/>
    </row>
    <row r="150" spans="1:43" s="466" customFormat="1" x14ac:dyDescent="0.25">
      <c r="A150"/>
      <c r="B150"/>
      <c r="C150"/>
      <c r="D150"/>
      <c r="E150"/>
      <c r="F150"/>
      <c r="G150"/>
      <c r="H150"/>
      <c r="I150"/>
      <c r="J150"/>
      <c r="K150"/>
      <c r="L150"/>
      <c r="M150"/>
      <c r="N150"/>
      <c r="O150"/>
      <c r="P150"/>
      <c r="Q150"/>
      <c r="R150"/>
      <c r="S150"/>
      <c r="T150"/>
      <c r="U150"/>
      <c r="V150"/>
      <c r="W150"/>
      <c r="X150"/>
      <c r="Y150"/>
      <c r="Z150"/>
      <c r="AA150"/>
      <c r="AF150"/>
      <c r="AG150"/>
    </row>
    <row r="151" spans="1:43" s="466" customFormat="1" x14ac:dyDescent="0.25">
      <c r="A151"/>
      <c r="B151"/>
      <c r="C151"/>
      <c r="D151"/>
      <c r="E151"/>
      <c r="F151"/>
      <c r="G151"/>
      <c r="H151"/>
      <c r="I151"/>
      <c r="J151"/>
      <c r="K151"/>
      <c r="L151"/>
      <c r="M151"/>
      <c r="N151"/>
      <c r="O151"/>
      <c r="P151"/>
      <c r="Q151"/>
      <c r="R151"/>
      <c r="S151"/>
      <c r="T151"/>
      <c r="U151"/>
      <c r="V151"/>
      <c r="W151"/>
      <c r="X151"/>
      <c r="Y151"/>
      <c r="Z151"/>
      <c r="AA151"/>
      <c r="AF151"/>
      <c r="AG151"/>
    </row>
    <row r="152" spans="1:43" s="466" customFormat="1" x14ac:dyDescent="0.25">
      <c r="A152"/>
      <c r="B152"/>
      <c r="C152"/>
      <c r="D152"/>
      <c r="E152"/>
      <c r="F152"/>
      <c r="G152"/>
      <c r="H152"/>
      <c r="I152"/>
      <c r="J152"/>
      <c r="K152"/>
      <c r="L152"/>
      <c r="M152"/>
      <c r="N152"/>
      <c r="O152"/>
      <c r="P152"/>
      <c r="Q152"/>
      <c r="R152"/>
      <c r="S152"/>
      <c r="T152"/>
      <c r="U152"/>
      <c r="V152"/>
      <c r="W152"/>
      <c r="X152"/>
      <c r="Y152"/>
      <c r="Z152"/>
      <c r="AA152"/>
      <c r="AF152"/>
      <c r="AG152"/>
    </row>
    <row r="153" spans="1:43" s="466" customFormat="1" x14ac:dyDescent="0.25">
      <c r="A153"/>
      <c r="B153"/>
      <c r="C153"/>
      <c r="D153"/>
      <c r="E153"/>
      <c r="F153"/>
      <c r="G153"/>
      <c r="H153"/>
      <c r="I153"/>
      <c r="J153"/>
      <c r="K153"/>
      <c r="L153"/>
      <c r="M153"/>
      <c r="N153"/>
      <c r="O153"/>
      <c r="P153"/>
      <c r="Q153"/>
      <c r="R153"/>
      <c r="S153"/>
      <c r="T153"/>
      <c r="U153"/>
      <c r="V153"/>
      <c r="W153"/>
      <c r="X153"/>
      <c r="Y153"/>
      <c r="Z153"/>
      <c r="AA153"/>
      <c r="AF153"/>
      <c r="AG153"/>
    </row>
    <row r="154" spans="1:43" s="466" customFormat="1"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N154"/>
      <c r="AO154"/>
      <c r="AP154"/>
      <c r="AQ154"/>
    </row>
    <row r="155" spans="1:43" s="466" customFormat="1"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N155"/>
      <c r="AO155"/>
      <c r="AP155"/>
      <c r="AQ155"/>
    </row>
    <row r="156" spans="1:43" s="466" customFormat="1"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N156"/>
      <c r="AO156"/>
      <c r="AP156"/>
      <c r="AQ156"/>
    </row>
    <row r="157" spans="1:43" s="466" customFormat="1"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N157"/>
      <c r="AO157"/>
      <c r="AP157"/>
      <c r="AQ157"/>
    </row>
    <row r="158" spans="1:43" s="466" customFormat="1"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N158"/>
      <c r="AO158"/>
      <c r="AP158"/>
      <c r="AQ158"/>
    </row>
    <row r="159" spans="1:43" s="466" customFormat="1"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N159"/>
      <c r="AO159"/>
      <c r="AP159"/>
      <c r="AQ159"/>
    </row>
    <row r="160" spans="1:43" s="466" customFormat="1"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N160"/>
      <c r="AO160"/>
      <c r="AP160"/>
      <c r="AQ160"/>
    </row>
    <row r="161" spans="1:43" s="466" customFormat="1"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N161"/>
      <c r="AO161"/>
      <c r="AP161"/>
      <c r="AQ161"/>
    </row>
    <row r="162" spans="1:43" s="466" customFormat="1"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N162"/>
      <c r="AO162"/>
      <c r="AP162"/>
      <c r="AQ162"/>
    </row>
    <row r="163" spans="1:43" s="466" customFormat="1" x14ac:dyDescent="0.25">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N163"/>
      <c r="AO163"/>
      <c r="AP163"/>
      <c r="AQ163"/>
    </row>
    <row r="164" spans="1:43" s="466" customFormat="1" x14ac:dyDescent="0.25">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N164"/>
      <c r="AO164"/>
      <c r="AP164"/>
      <c r="AQ164"/>
    </row>
    <row r="165" spans="1:43" s="466" customFormat="1" x14ac:dyDescent="0.25">
      <c r="A165"/>
      <c r="B165"/>
      <c r="M165"/>
      <c r="N165"/>
      <c r="O165"/>
      <c r="P165"/>
      <c r="Q165"/>
      <c r="R165"/>
      <c r="S165"/>
      <c r="T165"/>
      <c r="U165"/>
      <c r="V165"/>
      <c r="W165"/>
      <c r="X165"/>
      <c r="Y165"/>
      <c r="Z165"/>
      <c r="AA165"/>
      <c r="AN165"/>
      <c r="AO165"/>
      <c r="AP165"/>
      <c r="AQ165"/>
    </row>
    <row r="166" spans="1:43" s="466" customFormat="1" x14ac:dyDescent="0.25">
      <c r="A166"/>
      <c r="B166"/>
      <c r="M166"/>
      <c r="N166"/>
      <c r="O166"/>
      <c r="P166"/>
      <c r="Q166"/>
      <c r="R166"/>
      <c r="S166"/>
      <c r="T166"/>
      <c r="U166"/>
      <c r="V166"/>
      <c r="W166"/>
      <c r="X166"/>
      <c r="Y166"/>
      <c r="Z166"/>
      <c r="AA166"/>
      <c r="AN166"/>
      <c r="AO166"/>
      <c r="AP166"/>
      <c r="AQ166"/>
    </row>
  </sheetData>
  <sortState ref="A83:AQ121">
    <sortCondition ref="A83:A121"/>
  </sortState>
  <conditionalFormatting sqref="P44:Q44 P47:Q53 P61:Q61 P63:Q64 P66:Q67 P69:Q69 P71:Q77 P13:Q42 P55:Q59 A13:N19 A87:F123 A21:N84 H20:N20 A20:E20">
    <cfRule type="expression" dxfId="0" priority="3">
      <formula>MOD(ROW(), 2)=1</formula>
    </cfRule>
  </conditionalFormatting>
  <dataValidations count="3">
    <dataValidation type="list" allowBlank="1" showInputMessage="1" showErrorMessage="1" sqref="B14:B84 C13:C84 D20:E20 D13:N19 D21:N84 H20:N20">
      <formula1>$AK$2:$AK$35</formula1>
    </dataValidation>
    <dataValidation type="list" allowBlank="1" showInputMessage="1" showErrorMessage="1" sqref="B87:F123">
      <formula1>"1, 2, 3, 4, 5"</formula1>
    </dataValidation>
    <dataValidation type="list" allowBlank="1" showInputMessage="1" showErrorMessage="1" sqref="B13">
      <formula1>$AK$2:$AK$32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MP_new!$A$22:$A$181</xm:f>
          </x14:formula1>
          <xm:sqref>A13:A84 A87:A123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43" customFormat="1" ht="26.25" x14ac:dyDescent="0.25">
      <c r="A1" s="439" t="s">
        <v>490</v>
      </c>
      <c r="B1" s="440" t="s">
        <v>520</v>
      </c>
      <c r="C1" s="440" t="s">
        <v>29</v>
      </c>
      <c r="D1" s="441" t="s">
        <v>521</v>
      </c>
      <c r="E1" s="222" t="s">
        <v>522</v>
      </c>
      <c r="F1" s="222" t="s">
        <v>523</v>
      </c>
      <c r="G1" s="222" t="s">
        <v>524</v>
      </c>
      <c r="H1" s="222" t="s">
        <v>525</v>
      </c>
      <c r="I1" s="356" t="s">
        <v>510</v>
      </c>
      <c r="J1" s="620" t="s">
        <v>526</v>
      </c>
      <c r="K1" s="621"/>
      <c r="L1" s="621"/>
      <c r="M1" s="621"/>
      <c r="N1" s="621"/>
      <c r="O1" s="621"/>
      <c r="P1" s="442"/>
      <c r="Q1" s="442"/>
      <c r="R1" s="442"/>
      <c r="S1" s="442"/>
    </row>
    <row r="2" spans="1:23" s="443" customFormat="1" x14ac:dyDescent="0.25">
      <c r="A2" s="434" t="s">
        <v>193</v>
      </c>
      <c r="B2" s="434" t="s">
        <v>150</v>
      </c>
      <c r="C2" s="434" t="s">
        <v>191</v>
      </c>
      <c r="D2" s="434">
        <v>0.1619548872180451</v>
      </c>
      <c r="E2" s="434">
        <v>6.4285714285714293E-2</v>
      </c>
      <c r="F2" s="434">
        <v>0</v>
      </c>
      <c r="G2" s="434">
        <v>6.7593984962406012E-2</v>
      </c>
      <c r="H2" s="434">
        <v>9.0225563909774437E-4</v>
      </c>
      <c r="I2" s="444" t="e">
        <f>NA()</f>
        <v>#N/A</v>
      </c>
      <c r="J2" s="621"/>
      <c r="K2" s="621"/>
      <c r="L2" s="621"/>
      <c r="M2" s="621"/>
      <c r="N2" s="621"/>
      <c r="O2" s="621"/>
      <c r="W2" s="434"/>
    </row>
    <row r="3" spans="1:23" s="443" customFormat="1" x14ac:dyDescent="0.25">
      <c r="A3" s="434" t="s">
        <v>194</v>
      </c>
      <c r="B3" s="434" t="s">
        <v>150</v>
      </c>
      <c r="C3" s="434" t="s">
        <v>191</v>
      </c>
      <c r="D3" s="434">
        <v>0.24035532994923858</v>
      </c>
      <c r="E3" s="434">
        <v>5.5076142131979693E-2</v>
      </c>
      <c r="F3" s="434">
        <v>0</v>
      </c>
      <c r="G3" s="434">
        <v>5.5025380710659898E-2</v>
      </c>
      <c r="H3" s="434">
        <v>3.1472081218274113E-3</v>
      </c>
      <c r="I3" s="444" t="e">
        <f>NA()</f>
        <v>#N/A</v>
      </c>
      <c r="J3" s="621"/>
      <c r="K3" s="621"/>
      <c r="L3" s="621"/>
      <c r="M3" s="621"/>
      <c r="N3" s="621"/>
      <c r="O3" s="621"/>
    </row>
    <row r="4" spans="1:23" s="443" customFormat="1" x14ac:dyDescent="0.25">
      <c r="A4" s="434" t="s">
        <v>195</v>
      </c>
      <c r="B4" s="434" t="s">
        <v>133</v>
      </c>
      <c r="C4" s="434" t="s">
        <v>191</v>
      </c>
      <c r="D4" s="434">
        <v>0</v>
      </c>
      <c r="E4" s="434">
        <v>2.0819112627986348E-2</v>
      </c>
      <c r="F4" s="434">
        <v>0</v>
      </c>
      <c r="G4" s="434">
        <v>5.3014789533560862E-2</v>
      </c>
      <c r="H4" s="434">
        <v>0</v>
      </c>
      <c r="I4" s="444" t="e">
        <f>NA()</f>
        <v>#N/A</v>
      </c>
      <c r="J4" s="621"/>
      <c r="K4" s="621"/>
      <c r="L4" s="621"/>
      <c r="M4" s="621"/>
      <c r="N4" s="621"/>
      <c r="O4" s="621"/>
    </row>
    <row r="5" spans="1:23" s="443" customFormat="1" x14ac:dyDescent="0.25">
      <c r="A5" s="434" t="s">
        <v>196</v>
      </c>
      <c r="B5" s="434" t="s">
        <v>133</v>
      </c>
      <c r="C5" s="434" t="s">
        <v>191</v>
      </c>
      <c r="D5" s="434">
        <v>0</v>
      </c>
      <c r="E5" s="434">
        <v>2.083301076101262E-2</v>
      </c>
      <c r="F5" s="434">
        <v>0</v>
      </c>
      <c r="G5" s="434">
        <v>5.3030889525431599E-2</v>
      </c>
      <c r="H5" s="434">
        <v>0</v>
      </c>
      <c r="I5" s="444" t="e">
        <f>NA()</f>
        <v>#N/A</v>
      </c>
      <c r="J5" s="621"/>
      <c r="K5" s="621"/>
      <c r="L5" s="621"/>
      <c r="M5" s="621"/>
      <c r="N5" s="621"/>
      <c r="O5" s="621"/>
    </row>
    <row r="6" spans="1:23" s="443" customFormat="1" x14ac:dyDescent="0.25">
      <c r="A6" s="434" t="s">
        <v>197</v>
      </c>
      <c r="B6" s="434" t="s">
        <v>175</v>
      </c>
      <c r="C6" s="434" t="s">
        <v>191</v>
      </c>
      <c r="D6" s="434">
        <v>0</v>
      </c>
      <c r="E6" s="434">
        <v>0.36048225050234434</v>
      </c>
      <c r="F6" s="434">
        <v>0.28613529805760213</v>
      </c>
      <c r="G6" s="434">
        <v>0.57885688769814692</v>
      </c>
      <c r="H6" s="434">
        <v>0</v>
      </c>
      <c r="I6" s="444" t="e">
        <f>NA()</f>
        <v>#N/A</v>
      </c>
      <c r="J6" s="621"/>
      <c r="K6" s="621"/>
      <c r="L6" s="621"/>
      <c r="M6" s="621"/>
      <c r="N6" s="621"/>
      <c r="O6" s="621"/>
    </row>
    <row r="7" spans="1:23" s="443" customFormat="1" x14ac:dyDescent="0.25">
      <c r="A7" s="434" t="s">
        <v>339</v>
      </c>
      <c r="B7" s="434" t="s">
        <v>149</v>
      </c>
      <c r="C7" s="434" t="s">
        <v>191</v>
      </c>
      <c r="D7" s="434">
        <v>0</v>
      </c>
      <c r="E7" s="434">
        <v>4.4066834146605831E-2</v>
      </c>
      <c r="F7" s="434">
        <v>3.8467181188749838E-2</v>
      </c>
      <c r="G7" s="434">
        <v>0.28558230085065545</v>
      </c>
      <c r="H7" s="434">
        <v>6.0865793020173798E-3</v>
      </c>
      <c r="I7" s="444" t="e">
        <f>NA()</f>
        <v>#N/A</v>
      </c>
      <c r="J7" s="621"/>
      <c r="K7" s="621"/>
      <c r="L7" s="621"/>
      <c r="M7" s="621"/>
      <c r="N7" s="621"/>
      <c r="O7" s="621"/>
    </row>
    <row r="8" spans="1:23" s="443" customFormat="1" x14ac:dyDescent="0.25">
      <c r="A8" s="434" t="s">
        <v>198</v>
      </c>
      <c r="B8" s="434" t="s">
        <v>175</v>
      </c>
      <c r="C8" s="434" t="s">
        <v>191</v>
      </c>
      <c r="D8" s="434">
        <v>0</v>
      </c>
      <c r="E8" s="434">
        <v>0.29089552238805971</v>
      </c>
      <c r="F8" s="434">
        <v>0.35</v>
      </c>
      <c r="G8" s="434">
        <v>0.61412935323383089</v>
      </c>
      <c r="H8" s="434">
        <v>0</v>
      </c>
      <c r="I8" s="444" t="e">
        <f>NA()</f>
        <v>#N/A</v>
      </c>
      <c r="J8" s="621"/>
      <c r="K8" s="621"/>
      <c r="L8" s="621"/>
      <c r="M8" s="621"/>
      <c r="N8" s="621"/>
      <c r="O8" s="621"/>
    </row>
    <row r="9" spans="1:23" s="443" customFormat="1" x14ac:dyDescent="0.25">
      <c r="A9" s="434" t="s">
        <v>199</v>
      </c>
      <c r="B9" s="434" t="s">
        <v>171</v>
      </c>
      <c r="C9" s="434" t="s">
        <v>191</v>
      </c>
      <c r="D9" s="434">
        <v>0</v>
      </c>
      <c r="E9" s="434">
        <v>0.44058739255014323</v>
      </c>
      <c r="F9" s="434">
        <v>0.2229083094555874</v>
      </c>
      <c r="G9" s="434">
        <v>0.64273638968481372</v>
      </c>
      <c r="H9" s="434">
        <v>2.865329512893983E-5</v>
      </c>
      <c r="I9" s="444" t="e">
        <f>NA()</f>
        <v>#N/A</v>
      </c>
      <c r="J9" s="621"/>
      <c r="K9" s="621"/>
      <c r="L9" s="621"/>
      <c r="M9" s="621"/>
      <c r="N9" s="621"/>
      <c r="O9" s="621"/>
    </row>
    <row r="10" spans="1:23" s="443" customFormat="1" x14ac:dyDescent="0.25">
      <c r="A10" s="434" t="s">
        <v>350</v>
      </c>
      <c r="B10" s="434" t="s">
        <v>149</v>
      </c>
      <c r="C10" s="434" t="s">
        <v>191</v>
      </c>
      <c r="D10" s="434">
        <v>0</v>
      </c>
      <c r="E10" s="434">
        <v>2.0950183244904303E-3</v>
      </c>
      <c r="F10" s="434">
        <v>0</v>
      </c>
      <c r="G10" s="434">
        <v>3.8884809810617829E-2</v>
      </c>
      <c r="H10" s="434">
        <v>0</v>
      </c>
      <c r="I10" s="444" t="e">
        <f>NA()</f>
        <v>#N/A</v>
      </c>
      <c r="J10" s="621"/>
      <c r="K10" s="621"/>
      <c r="L10" s="621"/>
      <c r="M10" s="621"/>
      <c r="N10" s="621"/>
      <c r="O10" s="621"/>
    </row>
    <row r="11" spans="1:23" s="443" customFormat="1" x14ac:dyDescent="0.25">
      <c r="A11" s="434" t="s">
        <v>200</v>
      </c>
      <c r="B11" s="434" t="s">
        <v>175</v>
      </c>
      <c r="C11" s="434" t="s">
        <v>191</v>
      </c>
      <c r="D11" s="434">
        <v>0</v>
      </c>
      <c r="E11" s="434">
        <v>7.7840269966254219E-2</v>
      </c>
      <c r="F11" s="434">
        <v>0.24808773903262091</v>
      </c>
      <c r="G11" s="434">
        <v>0.48498312710911134</v>
      </c>
      <c r="H11" s="434">
        <v>0</v>
      </c>
      <c r="I11" s="444" t="e">
        <f>NA()</f>
        <v>#N/A</v>
      </c>
      <c r="J11" s="621"/>
      <c r="K11" s="621"/>
      <c r="L11" s="621"/>
      <c r="M11" s="621"/>
      <c r="N11" s="621"/>
      <c r="O11" s="621"/>
    </row>
    <row r="12" spans="1:23" s="443" customFormat="1" x14ac:dyDescent="0.25">
      <c r="A12" s="434" t="s">
        <v>201</v>
      </c>
      <c r="B12" s="434" t="s">
        <v>122</v>
      </c>
      <c r="C12" s="434" t="s">
        <v>191</v>
      </c>
      <c r="D12" s="434">
        <v>0</v>
      </c>
      <c r="E12" s="434">
        <v>0</v>
      </c>
      <c r="F12" s="434">
        <v>0</v>
      </c>
      <c r="G12" s="434">
        <v>4.8735408560311284E-2</v>
      </c>
      <c r="H12" s="434">
        <v>0</v>
      </c>
      <c r="I12" s="444" t="e">
        <f>NA()</f>
        <v>#N/A</v>
      </c>
      <c r="J12" s="621"/>
      <c r="K12" s="621"/>
      <c r="L12" s="621"/>
      <c r="M12" s="621"/>
      <c r="N12" s="621"/>
      <c r="O12" s="621"/>
    </row>
    <row r="13" spans="1:23" s="443" customFormat="1" x14ac:dyDescent="0.25">
      <c r="A13" s="434" t="s">
        <v>202</v>
      </c>
      <c r="B13" s="434" t="s">
        <v>175</v>
      </c>
      <c r="C13" s="434" t="s">
        <v>191</v>
      </c>
      <c r="D13" s="434">
        <v>0</v>
      </c>
      <c r="E13" s="434">
        <v>0.14385150812064965</v>
      </c>
      <c r="F13" s="434">
        <v>0.2077494199535963</v>
      </c>
      <c r="G13" s="434">
        <v>0.64846867749419956</v>
      </c>
      <c r="H13" s="434">
        <v>0</v>
      </c>
      <c r="I13" s="444" t="e">
        <f>NA()</f>
        <v>#N/A</v>
      </c>
      <c r="W13" s="434"/>
    </row>
    <row r="14" spans="1:23" s="443" customFormat="1" x14ac:dyDescent="0.25">
      <c r="A14" s="434" t="s">
        <v>203</v>
      </c>
      <c r="B14" s="434" t="s">
        <v>175</v>
      </c>
      <c r="C14" s="434" t="s">
        <v>191</v>
      </c>
      <c r="D14" s="434">
        <v>0</v>
      </c>
      <c r="E14" s="434">
        <v>0.27020997375328082</v>
      </c>
      <c r="F14" s="434">
        <v>0.10984251968503936</v>
      </c>
      <c r="G14" s="434">
        <v>0.62145669291338579</v>
      </c>
      <c r="H14" s="434">
        <v>0</v>
      </c>
      <c r="I14" s="444" t="e">
        <f>NA()</f>
        <v>#N/A</v>
      </c>
      <c r="W14" s="434"/>
    </row>
    <row r="15" spans="1:23" s="443" customFormat="1" x14ac:dyDescent="0.25">
      <c r="A15" s="434" t="s">
        <v>204</v>
      </c>
      <c r="B15" s="434" t="s">
        <v>149</v>
      </c>
      <c r="C15" s="434" t="s">
        <v>191</v>
      </c>
      <c r="D15" s="434">
        <v>0</v>
      </c>
      <c r="E15" s="434">
        <v>2.0398701900788134E-3</v>
      </c>
      <c r="F15" s="434">
        <v>0</v>
      </c>
      <c r="G15" s="434">
        <v>2.5915623551228558E-2</v>
      </c>
      <c r="H15" s="434">
        <v>0</v>
      </c>
      <c r="I15" s="444" t="e">
        <f>NA()</f>
        <v>#N/A</v>
      </c>
      <c r="W15" s="434"/>
    </row>
    <row r="16" spans="1:23" s="443" customFormat="1" x14ac:dyDescent="0.25">
      <c r="A16" s="434" t="s">
        <v>207</v>
      </c>
      <c r="B16" s="434" t="s">
        <v>171</v>
      </c>
      <c r="C16" s="434" t="s">
        <v>191</v>
      </c>
      <c r="D16" s="434">
        <v>0</v>
      </c>
      <c r="E16" s="434">
        <v>4.3914680050188204E-3</v>
      </c>
      <c r="F16" s="434">
        <v>4.6800501882057713E-2</v>
      </c>
      <c r="G16" s="434">
        <v>0.16461731493099119</v>
      </c>
      <c r="H16" s="434">
        <v>4.0150564617314928E-3</v>
      </c>
      <c r="I16" s="444" t="e">
        <f>NA()</f>
        <v>#N/A</v>
      </c>
      <c r="W16" s="434"/>
    </row>
    <row r="17" spans="1:23" s="443" customFormat="1" x14ac:dyDescent="0.25">
      <c r="A17" s="434" t="s">
        <v>205</v>
      </c>
      <c r="B17" s="434" t="s">
        <v>171</v>
      </c>
      <c r="C17" s="434" t="s">
        <v>191</v>
      </c>
      <c r="D17" s="434">
        <v>0</v>
      </c>
      <c r="E17" s="434">
        <v>0.4997652030993191</v>
      </c>
      <c r="F17" s="434">
        <v>0.19420051655318149</v>
      </c>
      <c r="G17" s="434">
        <v>0.47774125381544968</v>
      </c>
      <c r="H17" s="434">
        <v>1.3101667057994835E-2</v>
      </c>
      <c r="I17" s="444" t="e">
        <f>NA()</f>
        <v>#N/A</v>
      </c>
      <c r="W17" s="434"/>
    </row>
    <row r="18" spans="1:23" s="443" customFormat="1" x14ac:dyDescent="0.25">
      <c r="A18" s="434" t="s">
        <v>206</v>
      </c>
      <c r="B18" s="434" t="s">
        <v>171</v>
      </c>
      <c r="C18" s="434" t="s">
        <v>191</v>
      </c>
      <c r="D18" s="434">
        <v>0</v>
      </c>
      <c r="E18" s="434">
        <v>0.48439849624060155</v>
      </c>
      <c r="F18" s="434">
        <v>0.19429824561403511</v>
      </c>
      <c r="G18" s="434">
        <v>0.44918546365914785</v>
      </c>
      <c r="H18" s="434">
        <v>1.7481203007518799E-2</v>
      </c>
      <c r="I18" s="444" t="e">
        <f>NA()</f>
        <v>#N/A</v>
      </c>
      <c r="W18" s="434"/>
    </row>
    <row r="19" spans="1:23" s="443" customFormat="1" x14ac:dyDescent="0.25">
      <c r="A19" s="434" t="s">
        <v>208</v>
      </c>
      <c r="B19" s="434" t="s">
        <v>175</v>
      </c>
      <c r="C19" s="434" t="s">
        <v>191</v>
      </c>
      <c r="D19" s="434">
        <v>0</v>
      </c>
      <c r="E19" s="434">
        <v>0.5209459459459459</v>
      </c>
      <c r="F19" s="434">
        <v>0.24451510333863277</v>
      </c>
      <c r="G19" s="434">
        <v>0.54181240063593006</v>
      </c>
      <c r="H19" s="434">
        <v>0</v>
      </c>
      <c r="I19" s="444" t="e">
        <f>NA()</f>
        <v>#N/A</v>
      </c>
      <c r="W19" s="434"/>
    </row>
    <row r="20" spans="1:23" s="443" customFormat="1" x14ac:dyDescent="0.25">
      <c r="A20" s="434" t="s">
        <v>209</v>
      </c>
      <c r="B20" s="434" t="s">
        <v>171</v>
      </c>
      <c r="C20" s="434" t="s">
        <v>191</v>
      </c>
      <c r="D20" s="434">
        <v>0</v>
      </c>
      <c r="E20" s="434">
        <v>0.40781592403214023</v>
      </c>
      <c r="F20" s="434">
        <v>0.29853907962016069</v>
      </c>
      <c r="G20" s="434">
        <v>0.58802045288531768</v>
      </c>
      <c r="H20" s="434">
        <v>0</v>
      </c>
      <c r="I20" s="444" t="e">
        <f>NA()</f>
        <v>#N/A</v>
      </c>
      <c r="W20" s="434"/>
    </row>
    <row r="21" spans="1:23" s="443" customFormat="1" x14ac:dyDescent="0.25">
      <c r="A21" s="434" t="s">
        <v>210</v>
      </c>
      <c r="B21" s="434" t="s">
        <v>175</v>
      </c>
      <c r="C21" s="434" t="s">
        <v>191</v>
      </c>
      <c r="D21" s="434">
        <v>0</v>
      </c>
      <c r="E21" s="434">
        <v>0.16472743930371048</v>
      </c>
      <c r="F21" s="434">
        <v>0.11765918460833714</v>
      </c>
      <c r="G21" s="434">
        <v>0.54647274393037104</v>
      </c>
      <c r="H21" s="434">
        <v>0</v>
      </c>
      <c r="I21" s="444" t="e">
        <f>NA()</f>
        <v>#N/A</v>
      </c>
      <c r="W21" s="434"/>
    </row>
    <row r="22" spans="1:23" s="443" customFormat="1" x14ac:dyDescent="0.25">
      <c r="A22" s="434" t="s">
        <v>340</v>
      </c>
      <c r="B22" s="434" t="s">
        <v>149</v>
      </c>
      <c r="C22" s="434" t="s">
        <v>191</v>
      </c>
      <c r="D22" s="434">
        <v>0</v>
      </c>
      <c r="E22" s="434">
        <v>2.1020784537194976E-3</v>
      </c>
      <c r="F22" s="434">
        <v>0</v>
      </c>
      <c r="G22" s="434">
        <v>3.8888451393810704E-2</v>
      </c>
      <c r="H22" s="434">
        <v>0</v>
      </c>
      <c r="I22" s="444" t="e">
        <f>NA()</f>
        <v>#N/A</v>
      </c>
      <c r="W22" s="434"/>
    </row>
    <row r="23" spans="1:23" s="443" customFormat="1" x14ac:dyDescent="0.25">
      <c r="A23" s="434" t="s">
        <v>211</v>
      </c>
      <c r="B23" s="434" t="s">
        <v>175</v>
      </c>
      <c r="C23" s="434" t="s">
        <v>191</v>
      </c>
      <c r="D23" s="434">
        <v>0</v>
      </c>
      <c r="E23" s="434">
        <v>0.17453117782909933</v>
      </c>
      <c r="F23" s="434">
        <v>8.5533487297921484E-2</v>
      </c>
      <c r="G23" s="434">
        <v>0.4999168591224018</v>
      </c>
      <c r="H23" s="434">
        <v>0</v>
      </c>
      <c r="I23" s="444" t="e">
        <f>NA()</f>
        <v>#N/A</v>
      </c>
      <c r="W23" s="434"/>
    </row>
    <row r="24" spans="1:23" s="443" customFormat="1" x14ac:dyDescent="0.25">
      <c r="A24" s="434" t="s">
        <v>212</v>
      </c>
      <c r="B24" s="434" t="s">
        <v>175</v>
      </c>
      <c r="C24" s="434" t="s">
        <v>191</v>
      </c>
      <c r="D24" s="434">
        <v>0</v>
      </c>
      <c r="E24" s="434">
        <v>0.41572819240313041</v>
      </c>
      <c r="F24" s="434">
        <v>0.1913914869249857</v>
      </c>
      <c r="G24" s="434">
        <v>0.53254437869822491</v>
      </c>
      <c r="H24" s="434">
        <v>1.3361328497804925E-4</v>
      </c>
      <c r="I24" s="444" t="e">
        <f>NA()</f>
        <v>#N/A</v>
      </c>
      <c r="W24" s="434"/>
    </row>
    <row r="25" spans="1:23" s="443" customFormat="1" x14ac:dyDescent="0.25">
      <c r="A25" s="434" t="s">
        <v>213</v>
      </c>
      <c r="B25" s="434" t="s">
        <v>175</v>
      </c>
      <c r="C25" s="434" t="s">
        <v>191</v>
      </c>
      <c r="D25" s="434">
        <v>0</v>
      </c>
      <c r="E25" s="434">
        <v>0.54503994673768308</v>
      </c>
      <c r="F25" s="434">
        <v>0.15908788282290282</v>
      </c>
      <c r="G25" s="434">
        <v>0.43034287616511324</v>
      </c>
      <c r="H25" s="434">
        <v>4.3275632490013318E-4</v>
      </c>
      <c r="I25" s="444" t="e">
        <f>NA()</f>
        <v>#N/A</v>
      </c>
      <c r="W25" s="434"/>
    </row>
    <row r="26" spans="1:23" s="443" customFormat="1" x14ac:dyDescent="0.25">
      <c r="A26" s="434" t="s">
        <v>214</v>
      </c>
      <c r="B26" s="434" t="s">
        <v>175</v>
      </c>
      <c r="C26" s="434" t="s">
        <v>191</v>
      </c>
      <c r="D26" s="434">
        <v>0</v>
      </c>
      <c r="E26" s="434">
        <v>0.6426647144948755</v>
      </c>
      <c r="F26" s="434">
        <v>0.10120058565153735</v>
      </c>
      <c r="G26" s="434">
        <v>0.72368960468521226</v>
      </c>
      <c r="H26" s="434">
        <v>0</v>
      </c>
      <c r="I26" s="444" t="e">
        <f>NA()</f>
        <v>#N/A</v>
      </c>
      <c r="W26" s="434"/>
    </row>
    <row r="27" spans="1:23" s="443" customFormat="1" x14ac:dyDescent="0.25">
      <c r="A27" s="434" t="s">
        <v>215</v>
      </c>
      <c r="B27" s="434" t="s">
        <v>175</v>
      </c>
      <c r="C27" s="434" t="s">
        <v>191</v>
      </c>
      <c r="D27" s="434">
        <v>0</v>
      </c>
      <c r="E27" s="434">
        <v>0.40857352671195152</v>
      </c>
      <c r="F27" s="434">
        <v>4.8338534973379838E-2</v>
      </c>
      <c r="G27" s="434">
        <v>0.47853864512575728</v>
      </c>
      <c r="H27" s="434">
        <v>0</v>
      </c>
      <c r="I27" s="444" t="e">
        <f>NA()</f>
        <v>#N/A</v>
      </c>
      <c r="W27" s="434"/>
    </row>
    <row r="28" spans="1:23" s="443" customFormat="1" x14ac:dyDescent="0.25">
      <c r="A28" s="434" t="s">
        <v>216</v>
      </c>
      <c r="B28" s="434" t="s">
        <v>175</v>
      </c>
      <c r="C28" s="434" t="s">
        <v>191</v>
      </c>
      <c r="D28" s="434">
        <v>0</v>
      </c>
      <c r="E28" s="434">
        <v>0.18169014084507043</v>
      </c>
      <c r="F28" s="434">
        <v>7.7934272300469482E-2</v>
      </c>
      <c r="G28" s="434">
        <v>0.5826291079812207</v>
      </c>
      <c r="H28" s="434">
        <v>0</v>
      </c>
      <c r="I28" s="444" t="e">
        <f>NA()</f>
        <v>#N/A</v>
      </c>
      <c r="W28" s="434"/>
    </row>
    <row r="29" spans="1:23" s="443" customFormat="1" x14ac:dyDescent="0.25">
      <c r="A29" s="434" t="s">
        <v>217</v>
      </c>
      <c r="B29" s="434" t="s">
        <v>175</v>
      </c>
      <c r="C29" s="434" t="s">
        <v>191</v>
      </c>
      <c r="D29" s="434">
        <v>0</v>
      </c>
      <c r="E29" s="434">
        <v>0.3912800206593785</v>
      </c>
      <c r="F29" s="434">
        <v>0.16361366962210552</v>
      </c>
      <c r="G29" s="434">
        <v>0.54432297495050352</v>
      </c>
      <c r="H29" s="434">
        <v>8.6080743737625887E-6</v>
      </c>
      <c r="I29" s="444" t="e">
        <f>NA()</f>
        <v>#N/A</v>
      </c>
      <c r="W29" s="434"/>
    </row>
    <row r="30" spans="1:23" s="443" customFormat="1" x14ac:dyDescent="0.25">
      <c r="A30" s="434" t="s">
        <v>218</v>
      </c>
      <c r="B30" s="434" t="s">
        <v>146</v>
      </c>
      <c r="C30" s="434" t="s">
        <v>191</v>
      </c>
      <c r="D30" s="434">
        <v>0</v>
      </c>
      <c r="E30" s="434">
        <v>4.9154589371980681E-2</v>
      </c>
      <c r="F30" s="434">
        <v>0.15378421900161032</v>
      </c>
      <c r="G30" s="434">
        <v>0.33055555555555555</v>
      </c>
      <c r="H30" s="434">
        <v>1.7230273752012883E-2</v>
      </c>
      <c r="I30" s="444" t="e">
        <f>NA()</f>
        <v>#N/A</v>
      </c>
      <c r="W30" s="434"/>
    </row>
    <row r="31" spans="1:23" s="443" customFormat="1" x14ac:dyDescent="0.25">
      <c r="A31" s="434" t="s">
        <v>219</v>
      </c>
      <c r="B31" s="434" t="s">
        <v>171</v>
      </c>
      <c r="C31" s="434" t="s">
        <v>191</v>
      </c>
      <c r="D31" s="434">
        <v>0</v>
      </c>
      <c r="E31" s="434">
        <v>0.46690442225392298</v>
      </c>
      <c r="F31" s="434">
        <v>0.13644793152639087</v>
      </c>
      <c r="G31" s="434">
        <v>0.47135520684736093</v>
      </c>
      <c r="H31" s="434">
        <v>1.6690442225392296E-3</v>
      </c>
      <c r="I31" s="444" t="e">
        <f>NA()</f>
        <v>#N/A</v>
      </c>
      <c r="W31" s="434"/>
    </row>
    <row r="32" spans="1:23" s="443" customFormat="1" x14ac:dyDescent="0.25">
      <c r="A32" s="434" t="s">
        <v>220</v>
      </c>
      <c r="B32" s="434" t="s">
        <v>149</v>
      </c>
      <c r="C32" s="434" t="s">
        <v>191</v>
      </c>
      <c r="D32" s="434">
        <v>0</v>
      </c>
      <c r="E32" s="434">
        <v>2.0940339786645595E-3</v>
      </c>
      <c r="F32" s="434">
        <v>0</v>
      </c>
      <c r="G32" s="434">
        <v>3.9075464243382069E-2</v>
      </c>
      <c r="H32" s="434">
        <v>0</v>
      </c>
      <c r="I32" s="444" t="e">
        <f>NA()</f>
        <v>#N/A</v>
      </c>
      <c r="W32" s="434"/>
    </row>
    <row r="33" spans="1:23" s="443" customFormat="1" x14ac:dyDescent="0.25">
      <c r="A33" s="434" t="s">
        <v>221</v>
      </c>
      <c r="B33" s="434" t="s">
        <v>149</v>
      </c>
      <c r="C33" s="434" t="s">
        <v>191</v>
      </c>
      <c r="D33" s="434">
        <v>0</v>
      </c>
      <c r="E33" s="434">
        <v>2.0972199642334578E-3</v>
      </c>
      <c r="F33" s="434">
        <v>0</v>
      </c>
      <c r="G33" s="434">
        <v>3.8936758250690942E-2</v>
      </c>
      <c r="H33" s="434">
        <v>0</v>
      </c>
      <c r="I33" s="444" t="e">
        <f>NA()</f>
        <v>#N/A</v>
      </c>
      <c r="W33" s="434"/>
    </row>
    <row r="34" spans="1:23" s="443" customFormat="1" x14ac:dyDescent="0.25">
      <c r="A34" s="434" t="s">
        <v>342</v>
      </c>
      <c r="B34" s="434" t="s">
        <v>149</v>
      </c>
      <c r="C34" s="434" t="s">
        <v>191</v>
      </c>
      <c r="D34" s="434">
        <v>0</v>
      </c>
      <c r="E34" s="434">
        <v>2.0945808866070538E-3</v>
      </c>
      <c r="F34" s="434">
        <v>0</v>
      </c>
      <c r="G34" s="434">
        <v>3.8858086792917072E-2</v>
      </c>
      <c r="H34" s="434">
        <v>7.9449619836819297E-4</v>
      </c>
      <c r="I34" s="444" t="e">
        <f>NA()</f>
        <v>#N/A</v>
      </c>
      <c r="W34" s="434"/>
    </row>
    <row r="35" spans="1:23" s="443" customFormat="1" x14ac:dyDescent="0.25">
      <c r="A35" s="434" t="s">
        <v>222</v>
      </c>
      <c r="B35" s="434" t="s">
        <v>171</v>
      </c>
      <c r="C35" s="434" t="s">
        <v>191</v>
      </c>
      <c r="D35" s="434">
        <v>0</v>
      </c>
      <c r="E35" s="434">
        <v>0.4315694527961515</v>
      </c>
      <c r="F35" s="434">
        <v>0.28854479855682497</v>
      </c>
      <c r="G35" s="434">
        <v>0.5662056524353577</v>
      </c>
      <c r="H35" s="434">
        <v>2.886349969933854E-3</v>
      </c>
      <c r="I35" s="444" t="e">
        <f>NA()</f>
        <v>#N/A</v>
      </c>
      <c r="W35" s="434"/>
    </row>
    <row r="36" spans="1:23" s="443" customFormat="1" x14ac:dyDescent="0.25">
      <c r="A36" s="434" t="s">
        <v>223</v>
      </c>
      <c r="B36" s="434" t="s">
        <v>171</v>
      </c>
      <c r="C36" s="434" t="s">
        <v>191</v>
      </c>
      <c r="D36" s="434">
        <v>0</v>
      </c>
      <c r="E36" s="434">
        <v>0.2452017448200654</v>
      </c>
      <c r="F36" s="434">
        <v>0.33233369683751363</v>
      </c>
      <c r="G36" s="434">
        <v>0.57181025081788439</v>
      </c>
      <c r="H36" s="434">
        <v>5.5616139585605235E-3</v>
      </c>
      <c r="I36" s="444" t="e">
        <f>NA()</f>
        <v>#N/A</v>
      </c>
      <c r="W36" s="434"/>
    </row>
    <row r="37" spans="1:23" s="443" customFormat="1" x14ac:dyDescent="0.25">
      <c r="A37" s="434" t="s">
        <v>351</v>
      </c>
      <c r="B37" s="434" t="s">
        <v>149</v>
      </c>
      <c r="C37" s="434" t="s">
        <v>191</v>
      </c>
      <c r="D37" s="434">
        <v>0</v>
      </c>
      <c r="E37" s="434">
        <v>5.3936734368055647E-3</v>
      </c>
      <c r="F37" s="434">
        <v>4.1126759955642425E-2</v>
      </c>
      <c r="G37" s="434">
        <v>0.24001846793784765</v>
      </c>
      <c r="H37" s="434">
        <v>0</v>
      </c>
      <c r="I37" s="444" t="e">
        <f>NA()</f>
        <v>#N/A</v>
      </c>
      <c r="W37" s="434"/>
    </row>
    <row r="38" spans="1:23" s="443" customFormat="1" x14ac:dyDescent="0.25">
      <c r="A38" s="434" t="s">
        <v>352</v>
      </c>
      <c r="B38" s="434" t="s">
        <v>149</v>
      </c>
      <c r="C38" s="434" t="s">
        <v>191</v>
      </c>
      <c r="D38" s="434">
        <v>0</v>
      </c>
      <c r="E38" s="434">
        <v>2.1590845136208723E-3</v>
      </c>
      <c r="F38" s="434">
        <v>0</v>
      </c>
      <c r="G38" s="434">
        <v>3.8863521245175704E-2</v>
      </c>
      <c r="H38" s="434">
        <v>0</v>
      </c>
      <c r="I38" s="444" t="e">
        <f>NA()</f>
        <v>#N/A</v>
      </c>
      <c r="W38" s="434"/>
    </row>
    <row r="39" spans="1:23" s="443" customFormat="1" x14ac:dyDescent="0.25">
      <c r="A39" s="434" t="s">
        <v>337</v>
      </c>
      <c r="B39" s="434" t="s">
        <v>149</v>
      </c>
      <c r="C39" s="434" t="s">
        <v>191</v>
      </c>
      <c r="D39" s="434">
        <v>0.17260904187551165</v>
      </c>
      <c r="E39" s="434">
        <v>4.683963607476356E-2</v>
      </c>
      <c r="F39" s="434">
        <v>9.4476542550799694E-2</v>
      </c>
      <c r="G39" s="434">
        <v>0.24217088438654349</v>
      </c>
      <c r="H39" s="434">
        <v>0.10205061136288911</v>
      </c>
      <c r="I39" s="444" t="e">
        <f>NA()</f>
        <v>#N/A</v>
      </c>
      <c r="W39" s="434"/>
    </row>
    <row r="40" spans="1:23" s="443" customFormat="1" x14ac:dyDescent="0.25">
      <c r="A40" s="434" t="s">
        <v>338</v>
      </c>
      <c r="B40" s="434" t="s">
        <v>149</v>
      </c>
      <c r="C40" s="434" t="s">
        <v>191</v>
      </c>
      <c r="D40" s="434">
        <v>0.14497210174440919</v>
      </c>
      <c r="E40" s="434">
        <v>2.9972370816614267E-2</v>
      </c>
      <c r="F40" s="434">
        <v>1.9377907416179618E-2</v>
      </c>
      <c r="G40" s="434">
        <v>0.20256251817754115</v>
      </c>
      <c r="H40" s="434">
        <v>1.9106254508476164E-2</v>
      </c>
      <c r="I40" s="444" t="e">
        <f>NA()</f>
        <v>#N/A</v>
      </c>
      <c r="W40" s="434"/>
    </row>
    <row r="41" spans="1:23" s="443" customFormat="1" x14ac:dyDescent="0.25">
      <c r="A41" s="434" t="s">
        <v>224</v>
      </c>
      <c r="B41" s="434" t="s">
        <v>175</v>
      </c>
      <c r="C41" s="434" t="s">
        <v>191</v>
      </c>
      <c r="D41" s="434">
        <v>0</v>
      </c>
      <c r="E41" s="434">
        <v>0.58696441539578803</v>
      </c>
      <c r="F41" s="434">
        <v>6.4923747276688454E-2</v>
      </c>
      <c r="G41" s="434">
        <v>0.54360929557007998</v>
      </c>
      <c r="H41" s="434">
        <v>1.1619462599854757E-3</v>
      </c>
      <c r="I41" s="444" t="e">
        <f>NA()</f>
        <v>#N/A</v>
      </c>
      <c r="W41" s="434"/>
    </row>
    <row r="42" spans="1:23" s="443" customFormat="1" x14ac:dyDescent="0.25">
      <c r="A42" s="434" t="s">
        <v>225</v>
      </c>
      <c r="B42" s="434" t="s">
        <v>171</v>
      </c>
      <c r="C42" s="434" t="s">
        <v>191</v>
      </c>
      <c r="D42" s="434">
        <v>0</v>
      </c>
      <c r="E42" s="434">
        <v>5.0694444444444438E-2</v>
      </c>
      <c r="F42" s="434">
        <v>0.28287037037037038</v>
      </c>
      <c r="G42" s="434">
        <v>0.40833333333333333</v>
      </c>
      <c r="H42" s="434">
        <v>0</v>
      </c>
      <c r="I42" s="444" t="e">
        <f>NA()</f>
        <v>#N/A</v>
      </c>
      <c r="W42" s="434"/>
    </row>
    <row r="43" spans="1:23" s="443" customFormat="1" x14ac:dyDescent="0.25">
      <c r="A43" s="434" t="s">
        <v>341</v>
      </c>
      <c r="B43" s="434" t="s">
        <v>149</v>
      </c>
      <c r="C43" s="434" t="s">
        <v>191</v>
      </c>
      <c r="D43" s="434">
        <v>0</v>
      </c>
      <c r="E43" s="434">
        <v>8.9332359124344868E-3</v>
      </c>
      <c r="F43" s="434">
        <v>6.5073296463054889E-2</v>
      </c>
      <c r="G43" s="434">
        <v>0.28455224851350952</v>
      </c>
      <c r="H43" s="434">
        <v>0</v>
      </c>
      <c r="I43" s="444" t="e">
        <f>NA()</f>
        <v>#N/A</v>
      </c>
      <c r="W43" s="434"/>
    </row>
    <row r="44" spans="1:23" s="443" customFormat="1" x14ac:dyDescent="0.25">
      <c r="A44" s="434" t="s">
        <v>226</v>
      </c>
      <c r="B44" s="434" t="s">
        <v>175</v>
      </c>
      <c r="C44" s="434" t="s">
        <v>191</v>
      </c>
      <c r="D44" s="434">
        <v>0</v>
      </c>
      <c r="E44" s="434">
        <v>0.43735933983495867</v>
      </c>
      <c r="F44" s="434">
        <v>0.20997749437359337</v>
      </c>
      <c r="G44" s="434">
        <v>0.63968492123030751</v>
      </c>
      <c r="H44" s="434">
        <v>0</v>
      </c>
      <c r="I44" s="444" t="e">
        <f>NA()</f>
        <v>#N/A</v>
      </c>
      <c r="W44" s="434"/>
    </row>
    <row r="45" spans="1:23" s="443" customFormat="1" x14ac:dyDescent="0.25">
      <c r="A45" s="434" t="s">
        <v>227</v>
      </c>
      <c r="B45" s="434" t="s">
        <v>171</v>
      </c>
      <c r="C45" s="434" t="s">
        <v>191</v>
      </c>
      <c r="D45" s="434">
        <v>0</v>
      </c>
      <c r="E45" s="434">
        <v>0.27550200803212849</v>
      </c>
      <c r="F45" s="434">
        <v>0.24926372155287818</v>
      </c>
      <c r="G45" s="434">
        <v>0.55903614457831319</v>
      </c>
      <c r="H45" s="434">
        <v>0</v>
      </c>
      <c r="I45" s="444" t="e">
        <f>NA()</f>
        <v>#N/A</v>
      </c>
      <c r="W45" s="434"/>
    </row>
    <row r="46" spans="1:23" s="443" customFormat="1" x14ac:dyDescent="0.25">
      <c r="A46" s="434" t="s">
        <v>228</v>
      </c>
      <c r="B46" s="434" t="s">
        <v>175</v>
      </c>
      <c r="C46" s="434" t="s">
        <v>191</v>
      </c>
      <c r="D46" s="434">
        <v>0</v>
      </c>
      <c r="E46" s="434">
        <v>6.1546184738955824E-2</v>
      </c>
      <c r="F46" s="434">
        <v>9.9497991967871499E-2</v>
      </c>
      <c r="G46" s="434">
        <v>0.32545180722891565</v>
      </c>
      <c r="H46" s="434">
        <v>0</v>
      </c>
      <c r="I46" s="444" t="e">
        <f>NA()</f>
        <v>#N/A</v>
      </c>
      <c r="W46" s="434"/>
    </row>
    <row r="47" spans="1:23" s="443" customFormat="1" x14ac:dyDescent="0.25">
      <c r="A47" s="434" t="s">
        <v>229</v>
      </c>
      <c r="B47" s="434" t="s">
        <v>171</v>
      </c>
      <c r="C47" s="434" t="s">
        <v>191</v>
      </c>
      <c r="D47" s="434">
        <v>0</v>
      </c>
      <c r="E47" s="434">
        <v>3.6316626889419251E-2</v>
      </c>
      <c r="F47" s="434">
        <v>7.8281622911694507E-2</v>
      </c>
      <c r="G47" s="434">
        <v>0.30369928400954649</v>
      </c>
      <c r="H47" s="434">
        <v>1.988862370723946E-4</v>
      </c>
      <c r="I47" s="444" t="e">
        <f>NA()</f>
        <v>#N/A</v>
      </c>
      <c r="W47" s="434"/>
    </row>
    <row r="48" spans="1:23" s="443" customFormat="1" x14ac:dyDescent="0.25">
      <c r="A48" s="434" t="s">
        <v>230</v>
      </c>
      <c r="B48" s="434" t="s">
        <v>171</v>
      </c>
      <c r="C48" s="434" t="s">
        <v>191</v>
      </c>
      <c r="D48" s="434">
        <v>0</v>
      </c>
      <c r="E48" s="434">
        <v>5.8019082235347567E-2</v>
      </c>
      <c r="F48" s="434">
        <v>9.5592912312585182E-2</v>
      </c>
      <c r="G48" s="434">
        <v>0.33616537937301227</v>
      </c>
      <c r="H48" s="434">
        <v>9.0867787369377565E-5</v>
      </c>
      <c r="I48" s="444" t="e">
        <f>NA()</f>
        <v>#N/A</v>
      </c>
      <c r="W48" s="434"/>
    </row>
    <row r="49" spans="1:23" s="443" customFormat="1" x14ac:dyDescent="0.25">
      <c r="A49" s="434" t="s">
        <v>231</v>
      </c>
      <c r="B49" s="434" t="s">
        <v>171</v>
      </c>
      <c r="C49" s="434" t="s">
        <v>191</v>
      </c>
      <c r="D49" s="434">
        <v>0</v>
      </c>
      <c r="E49" s="434">
        <v>0.20544346364018495</v>
      </c>
      <c r="F49" s="434">
        <v>0.36786464901219001</v>
      </c>
      <c r="G49" s="434">
        <v>0.52267759562841531</v>
      </c>
      <c r="H49" s="434">
        <v>3.1525851197982345E-4</v>
      </c>
      <c r="I49" s="444" t="e">
        <f>NA()</f>
        <v>#N/A</v>
      </c>
      <c r="W49" s="434"/>
    </row>
    <row r="50" spans="1:23" s="443" customFormat="1" x14ac:dyDescent="0.25">
      <c r="A50" s="434" t="s">
        <v>232</v>
      </c>
      <c r="B50" s="434" t="s">
        <v>171</v>
      </c>
      <c r="C50" s="434" t="s">
        <v>191</v>
      </c>
      <c r="D50" s="434">
        <v>0</v>
      </c>
      <c r="E50" s="434">
        <v>0.32497781721384206</v>
      </c>
      <c r="F50" s="434">
        <v>0.26228926353149956</v>
      </c>
      <c r="G50" s="434">
        <v>0.53402839396628221</v>
      </c>
      <c r="H50" s="434">
        <v>0</v>
      </c>
      <c r="I50" s="444" t="e">
        <f>NA()</f>
        <v>#N/A</v>
      </c>
      <c r="W50" s="434"/>
    </row>
    <row r="51" spans="1:23" s="443" customFormat="1" x14ac:dyDescent="0.25">
      <c r="A51" s="434" t="s">
        <v>233</v>
      </c>
      <c r="B51" s="434" t="s">
        <v>171</v>
      </c>
      <c r="C51" s="434" t="s">
        <v>191</v>
      </c>
      <c r="D51" s="434">
        <v>0</v>
      </c>
      <c r="E51" s="434">
        <v>0.16624533963808311</v>
      </c>
      <c r="F51" s="434">
        <v>0.4505683368191325</v>
      </c>
      <c r="G51" s="434">
        <v>0.53616440847503866</v>
      </c>
      <c r="H51" s="434">
        <v>1.8368645994362098E-3</v>
      </c>
      <c r="I51" s="444" t="e">
        <f>NA()</f>
        <v>#N/A</v>
      </c>
      <c r="W51" s="434"/>
    </row>
    <row r="52" spans="1:23" s="443" customFormat="1" x14ac:dyDescent="0.25">
      <c r="A52" s="434" t="s">
        <v>234</v>
      </c>
      <c r="B52" s="434" t="s">
        <v>171</v>
      </c>
      <c r="C52" s="434" t="s">
        <v>191</v>
      </c>
      <c r="D52" s="434">
        <v>0</v>
      </c>
      <c r="E52" s="434">
        <v>7.3044925124792007E-2</v>
      </c>
      <c r="F52" s="434">
        <v>0.11541874653355517</v>
      </c>
      <c r="G52" s="434">
        <v>0.3983361064891846</v>
      </c>
      <c r="H52" s="434">
        <v>6.1009428729894618E-4</v>
      </c>
      <c r="I52" s="444" t="e">
        <f>NA()</f>
        <v>#N/A</v>
      </c>
      <c r="W52" s="434"/>
    </row>
    <row r="53" spans="1:23" s="443" customFormat="1" x14ac:dyDescent="0.25">
      <c r="A53" s="434" t="s">
        <v>235</v>
      </c>
      <c r="B53" s="434" t="s">
        <v>171</v>
      </c>
      <c r="C53" s="434" t="s">
        <v>191</v>
      </c>
      <c r="D53" s="434">
        <v>0</v>
      </c>
      <c r="E53" s="434">
        <v>0</v>
      </c>
      <c r="F53" s="434">
        <v>7.6595744680851077E-2</v>
      </c>
      <c r="G53" s="434">
        <v>0.15059101654846338</v>
      </c>
      <c r="H53" s="434">
        <v>9.4562647754137122E-4</v>
      </c>
      <c r="I53" s="444" t="e">
        <f>NA()</f>
        <v>#N/A</v>
      </c>
      <c r="W53" s="434"/>
    </row>
    <row r="54" spans="1:23" s="443" customFormat="1" x14ac:dyDescent="0.25">
      <c r="A54" s="434" t="s">
        <v>236</v>
      </c>
      <c r="B54" s="434" t="s">
        <v>122</v>
      </c>
      <c r="C54" s="434" t="s">
        <v>191</v>
      </c>
      <c r="D54" s="434">
        <v>0</v>
      </c>
      <c r="E54" s="434">
        <v>0</v>
      </c>
      <c r="F54" s="434">
        <v>1.2116564417177914E-2</v>
      </c>
      <c r="G54" s="434">
        <v>9.1717791411042943E-2</v>
      </c>
      <c r="H54" s="434">
        <v>0</v>
      </c>
      <c r="I54" s="444" t="e">
        <f>NA()</f>
        <v>#N/A</v>
      </c>
      <c r="W54" s="434"/>
    </row>
    <row r="55" spans="1:23" s="443" customFormat="1" x14ac:dyDescent="0.25">
      <c r="A55" s="434" t="s">
        <v>237</v>
      </c>
      <c r="B55" s="434" t="s">
        <v>171</v>
      </c>
      <c r="C55" s="434" t="s">
        <v>191</v>
      </c>
      <c r="D55" s="434">
        <v>0</v>
      </c>
      <c r="E55" s="434">
        <v>1.2808460634547592E-2</v>
      </c>
      <c r="F55" s="434">
        <v>9.1774383078730912E-2</v>
      </c>
      <c r="G55" s="434">
        <v>0.25105757931844891</v>
      </c>
      <c r="H55" s="434">
        <v>0</v>
      </c>
      <c r="I55" s="444" t="e">
        <f>NA()</f>
        <v>#N/A</v>
      </c>
      <c r="W55" s="434"/>
    </row>
    <row r="56" spans="1:23" s="443" customFormat="1" x14ac:dyDescent="0.25">
      <c r="A56" s="434" t="s">
        <v>238</v>
      </c>
      <c r="B56" s="434" t="s">
        <v>171</v>
      </c>
      <c r="C56" s="434" t="s">
        <v>191</v>
      </c>
      <c r="D56" s="434">
        <v>0</v>
      </c>
      <c r="E56" s="434">
        <v>0.30314807617567041</v>
      </c>
      <c r="F56" s="434">
        <v>0.2201321414691022</v>
      </c>
      <c r="G56" s="434">
        <v>0.56424407306645941</v>
      </c>
      <c r="H56" s="434">
        <v>1.5934706568208315E-3</v>
      </c>
      <c r="I56" s="444" t="e">
        <f>NA()</f>
        <v>#N/A</v>
      </c>
      <c r="W56" s="434"/>
    </row>
    <row r="57" spans="1:23" s="443" customFormat="1" x14ac:dyDescent="0.25">
      <c r="A57" s="434" t="s">
        <v>239</v>
      </c>
      <c r="B57" s="434" t="s">
        <v>171</v>
      </c>
      <c r="C57" s="434" t="s">
        <v>191</v>
      </c>
      <c r="D57" s="434">
        <v>0</v>
      </c>
      <c r="E57" s="434">
        <v>0.2673958206036906</v>
      </c>
      <c r="F57" s="434">
        <v>0.34967615788830503</v>
      </c>
      <c r="G57" s="434">
        <v>0.58754735427104976</v>
      </c>
      <c r="H57" s="434">
        <v>4.6437736771355251E-4</v>
      </c>
      <c r="I57" s="444" t="e">
        <f>NA()</f>
        <v>#N/A</v>
      </c>
      <c r="W57" s="434"/>
    </row>
    <row r="58" spans="1:23" s="443" customFormat="1" x14ac:dyDescent="0.25">
      <c r="A58" s="434" t="s">
        <v>240</v>
      </c>
      <c r="B58" s="434" t="s">
        <v>171</v>
      </c>
      <c r="C58" s="434" t="s">
        <v>191</v>
      </c>
      <c r="D58" s="434">
        <v>0</v>
      </c>
      <c r="E58" s="434">
        <v>0.10496945488721804</v>
      </c>
      <c r="F58" s="434">
        <v>0.35856437969924809</v>
      </c>
      <c r="G58" s="434">
        <v>0.43735902255639092</v>
      </c>
      <c r="H58" s="434">
        <v>2.737312030075188E-3</v>
      </c>
      <c r="I58" s="444" t="e">
        <f>NA()</f>
        <v>#N/A</v>
      </c>
      <c r="W58" s="434"/>
    </row>
    <row r="59" spans="1:23" s="443" customFormat="1" x14ac:dyDescent="0.25">
      <c r="A59" s="434" t="s">
        <v>241</v>
      </c>
      <c r="B59" s="434" t="s">
        <v>171</v>
      </c>
      <c r="C59" s="434" t="s">
        <v>191</v>
      </c>
      <c r="D59" s="434">
        <v>0</v>
      </c>
      <c r="E59" s="434">
        <v>0</v>
      </c>
      <c r="F59" s="434">
        <v>8.0952380952380956E-2</v>
      </c>
      <c r="G59" s="434">
        <v>0.15912698412698412</v>
      </c>
      <c r="H59" s="434">
        <v>0</v>
      </c>
      <c r="I59" s="444" t="e">
        <f>NA()</f>
        <v>#N/A</v>
      </c>
      <c r="W59" s="434"/>
    </row>
    <row r="60" spans="1:23" s="443" customFormat="1" x14ac:dyDescent="0.25">
      <c r="A60" s="434" t="s">
        <v>242</v>
      </c>
      <c r="B60" s="434" t="s">
        <v>171</v>
      </c>
      <c r="C60" s="434" t="s">
        <v>191</v>
      </c>
      <c r="D60" s="434">
        <v>0</v>
      </c>
      <c r="E60" s="434">
        <v>0.18734477720964207</v>
      </c>
      <c r="F60" s="434">
        <v>0.39906866325785245</v>
      </c>
      <c r="G60" s="434">
        <v>0.49621986851716582</v>
      </c>
      <c r="H60" s="434">
        <v>5.6610664718772824E-4</v>
      </c>
      <c r="I60" s="444" t="e">
        <f>NA()</f>
        <v>#N/A</v>
      </c>
      <c r="W60" s="434"/>
    </row>
    <row r="61" spans="1:23" s="443" customFormat="1" x14ac:dyDescent="0.25">
      <c r="A61" s="434" t="s">
        <v>243</v>
      </c>
      <c r="B61" s="434" t="s">
        <v>171</v>
      </c>
      <c r="C61" s="434" t="s">
        <v>191</v>
      </c>
      <c r="D61" s="434">
        <v>0</v>
      </c>
      <c r="E61" s="434">
        <v>0.16262607738859347</v>
      </c>
      <c r="F61" s="434">
        <v>0.43533834586466169</v>
      </c>
      <c r="G61" s="434">
        <v>0.490427287731524</v>
      </c>
      <c r="H61" s="434">
        <v>0</v>
      </c>
      <c r="I61" s="444" t="e">
        <f>NA()</f>
        <v>#N/A</v>
      </c>
      <c r="W61" s="434"/>
    </row>
    <row r="62" spans="1:23" s="443" customFormat="1" x14ac:dyDescent="0.25">
      <c r="A62" s="434" t="s">
        <v>244</v>
      </c>
      <c r="B62" s="434" t="s">
        <v>171</v>
      </c>
      <c r="C62" s="434" t="s">
        <v>191</v>
      </c>
      <c r="D62" s="434">
        <v>0.16832229580573951</v>
      </c>
      <c r="E62" s="434">
        <v>0.20644591611479027</v>
      </c>
      <c r="F62" s="434">
        <v>0.24933774834437086</v>
      </c>
      <c r="G62" s="434">
        <v>0.44715231788079468</v>
      </c>
      <c r="H62" s="434">
        <v>7.3487858719646804E-2</v>
      </c>
      <c r="I62" s="444" t="e">
        <f>NA()</f>
        <v>#N/A</v>
      </c>
      <c r="W62" s="434"/>
    </row>
    <row r="63" spans="1:23" s="443" customFormat="1" x14ac:dyDescent="0.25">
      <c r="A63" s="434" t="s">
        <v>245</v>
      </c>
      <c r="B63" s="434" t="s">
        <v>171</v>
      </c>
      <c r="C63" s="434" t="s">
        <v>191</v>
      </c>
      <c r="D63" s="434">
        <v>0.16576666666666665</v>
      </c>
      <c r="E63" s="434">
        <v>0.19373333333333331</v>
      </c>
      <c r="F63" s="434">
        <v>0.23849999999999999</v>
      </c>
      <c r="G63" s="434">
        <v>0.43723333333333331</v>
      </c>
      <c r="H63" s="434">
        <v>9.6299999999999997E-2</v>
      </c>
      <c r="I63" s="444" t="e">
        <f>NA()</f>
        <v>#N/A</v>
      </c>
      <c r="W63" s="434"/>
    </row>
    <row r="64" spans="1:23" s="443" customFormat="1" x14ac:dyDescent="0.25">
      <c r="A64" s="434" t="s">
        <v>246</v>
      </c>
      <c r="B64" s="434" t="s">
        <v>175</v>
      </c>
      <c r="C64" s="434" t="s">
        <v>191</v>
      </c>
      <c r="D64" s="434">
        <v>0</v>
      </c>
      <c r="E64" s="434">
        <v>0.5521383075523203</v>
      </c>
      <c r="F64" s="434">
        <v>2.1337579617834397E-2</v>
      </c>
      <c r="G64" s="434">
        <v>0.28480436760691535</v>
      </c>
      <c r="H64" s="434">
        <v>0</v>
      </c>
      <c r="I64" s="444" t="e">
        <f>NA()</f>
        <v>#N/A</v>
      </c>
      <c r="W64" s="434"/>
    </row>
    <row r="65" spans="1:23" s="443" customFormat="1" x14ac:dyDescent="0.25">
      <c r="A65" s="434" t="s">
        <v>247</v>
      </c>
      <c r="B65" s="434" t="s">
        <v>175</v>
      </c>
      <c r="C65" s="434" t="s">
        <v>191</v>
      </c>
      <c r="D65" s="434">
        <v>0</v>
      </c>
      <c r="E65" s="434">
        <v>0.18252346193952032</v>
      </c>
      <c r="F65" s="434">
        <v>0.10761209593326382</v>
      </c>
      <c r="G65" s="434">
        <v>0.48586027111574559</v>
      </c>
      <c r="H65" s="434">
        <v>1.599582898852972E-2</v>
      </c>
      <c r="I65" s="444" t="e">
        <f>NA()</f>
        <v>#N/A</v>
      </c>
      <c r="W65" s="434"/>
    </row>
    <row r="66" spans="1:23" s="443" customFormat="1" x14ac:dyDescent="0.25">
      <c r="A66" s="434" t="s">
        <v>248</v>
      </c>
      <c r="B66" s="434" t="s">
        <v>175</v>
      </c>
      <c r="C66" s="434" t="s">
        <v>191</v>
      </c>
      <c r="D66" s="434">
        <v>0</v>
      </c>
      <c r="E66" s="434">
        <v>0.13568384347152265</v>
      </c>
      <c r="F66" s="434">
        <v>3.6691204959318095E-2</v>
      </c>
      <c r="G66" s="434">
        <v>0.36722200697404106</v>
      </c>
      <c r="H66" s="434">
        <v>0</v>
      </c>
      <c r="I66" s="444" t="e">
        <f>NA()</f>
        <v>#N/A</v>
      </c>
      <c r="W66" s="434"/>
    </row>
    <row r="67" spans="1:23" s="443" customFormat="1" x14ac:dyDescent="0.25">
      <c r="A67" s="434" t="s">
        <v>249</v>
      </c>
      <c r="B67" s="434" t="s">
        <v>171</v>
      </c>
      <c r="C67" s="434" t="s">
        <v>191</v>
      </c>
      <c r="D67" s="434">
        <v>0</v>
      </c>
      <c r="E67" s="434">
        <v>0.13257807715860379</v>
      </c>
      <c r="F67" s="434">
        <v>0.13337415799142682</v>
      </c>
      <c r="G67" s="434">
        <v>0.39412124923453762</v>
      </c>
      <c r="H67" s="434">
        <v>0</v>
      </c>
      <c r="I67" s="444" t="e">
        <f>NA()</f>
        <v>#N/A</v>
      </c>
      <c r="L67" s="434"/>
      <c r="M67" s="434"/>
      <c r="N67" s="362"/>
      <c r="O67" s="434"/>
      <c r="W67" s="434"/>
    </row>
    <row r="68" spans="1:23" s="443" customFormat="1" x14ac:dyDescent="0.25">
      <c r="A68" s="434" t="s">
        <v>250</v>
      </c>
      <c r="B68" s="434" t="s">
        <v>171</v>
      </c>
      <c r="C68" s="434" t="s">
        <v>191</v>
      </c>
      <c r="D68" s="434">
        <v>0.34571304221674165</v>
      </c>
      <c r="E68" s="434">
        <v>0.1741331785869723</v>
      </c>
      <c r="F68" s="434">
        <v>5.4301465254606128E-2</v>
      </c>
      <c r="G68" s="434">
        <v>0.23824169447265342</v>
      </c>
      <c r="H68" s="434">
        <v>0.38427390105904541</v>
      </c>
      <c r="I68" s="444" t="e">
        <f>NA()</f>
        <v>#N/A</v>
      </c>
      <c r="W68" s="434"/>
    </row>
    <row r="69" spans="1:23" s="443" customFormat="1" x14ac:dyDescent="0.25">
      <c r="A69" s="434" t="s">
        <v>251</v>
      </c>
      <c r="B69" s="434" t="s">
        <v>175</v>
      </c>
      <c r="C69" s="434" t="s">
        <v>191</v>
      </c>
      <c r="D69" s="434">
        <v>0</v>
      </c>
      <c r="E69" s="434">
        <v>0.48725149889555069</v>
      </c>
      <c r="F69" s="434">
        <v>4.2537077942568641E-2</v>
      </c>
      <c r="G69" s="434">
        <v>0.40893026191227522</v>
      </c>
      <c r="H69" s="434">
        <v>1.1360050489113286E-3</v>
      </c>
      <c r="I69" s="444" t="e">
        <f>NA()</f>
        <v>#N/A</v>
      </c>
      <c r="W69" s="434"/>
    </row>
    <row r="70" spans="1:23" s="443" customFormat="1" x14ac:dyDescent="0.25">
      <c r="A70" s="434" t="s">
        <v>252</v>
      </c>
      <c r="B70" s="434" t="s">
        <v>175</v>
      </c>
      <c r="C70" s="434" t="s">
        <v>191</v>
      </c>
      <c r="D70" s="434">
        <v>0</v>
      </c>
      <c r="E70" s="434">
        <v>0.37748842592592591</v>
      </c>
      <c r="F70" s="434">
        <v>7.7083333333333323E-2</v>
      </c>
      <c r="G70" s="434">
        <v>0.47256944444444438</v>
      </c>
      <c r="H70" s="434">
        <v>1.1574074074074073E-4</v>
      </c>
      <c r="I70" s="444" t="e">
        <f>NA()</f>
        <v>#N/A</v>
      </c>
      <c r="W70" s="434"/>
    </row>
    <row r="71" spans="1:23" s="443" customFormat="1" x14ac:dyDescent="0.25">
      <c r="A71" s="434" t="s">
        <v>253</v>
      </c>
      <c r="B71" s="434" t="s">
        <v>149</v>
      </c>
      <c r="C71" s="434" t="s">
        <v>191</v>
      </c>
      <c r="D71" s="434">
        <v>5.7664884135472369E-2</v>
      </c>
      <c r="E71" s="434">
        <v>2.0855614973262031E-2</v>
      </c>
      <c r="F71" s="434">
        <v>0</v>
      </c>
      <c r="G71" s="434">
        <v>3.7165775401069516E-2</v>
      </c>
      <c r="H71" s="434">
        <v>0</v>
      </c>
      <c r="I71" s="444" t="e">
        <f>NA()</f>
        <v>#N/A</v>
      </c>
      <c r="W71" s="434"/>
    </row>
    <row r="72" spans="1:23" s="443" customFormat="1" x14ac:dyDescent="0.25">
      <c r="A72" s="434" t="s">
        <v>343</v>
      </c>
      <c r="B72" s="434" t="s">
        <v>149</v>
      </c>
      <c r="C72" s="434" t="s">
        <v>191</v>
      </c>
      <c r="D72" s="434">
        <v>2.9393043531919214E-2</v>
      </c>
      <c r="E72" s="434">
        <v>2.0793041547764015E-3</v>
      </c>
      <c r="F72" s="434">
        <v>0</v>
      </c>
      <c r="G72" s="434">
        <v>3.0058420861447662E-2</v>
      </c>
      <c r="H72" s="434">
        <v>7.7549727756540662E-2</v>
      </c>
      <c r="I72" s="444" t="e">
        <f>NA()</f>
        <v>#N/A</v>
      </c>
      <c r="W72" s="434"/>
    </row>
    <row r="73" spans="1:23" s="443" customFormat="1" x14ac:dyDescent="0.25">
      <c r="A73" s="434" t="s">
        <v>254</v>
      </c>
      <c r="B73" s="434" t="s">
        <v>175</v>
      </c>
      <c r="C73" s="434" t="s">
        <v>191</v>
      </c>
      <c r="D73" s="434">
        <v>0</v>
      </c>
      <c r="E73" s="434">
        <v>0.28514115898959885</v>
      </c>
      <c r="F73" s="434">
        <v>6.0921248142644872E-2</v>
      </c>
      <c r="G73" s="434">
        <v>0.35542347696879645</v>
      </c>
      <c r="H73" s="434">
        <v>0</v>
      </c>
      <c r="I73" s="444" t="e">
        <f>NA()</f>
        <v>#N/A</v>
      </c>
      <c r="W73" s="434"/>
    </row>
    <row r="74" spans="1:23" s="443" customFormat="1" x14ac:dyDescent="0.25">
      <c r="A74" s="434" t="s">
        <v>255</v>
      </c>
      <c r="B74" s="434" t="s">
        <v>175</v>
      </c>
      <c r="C74" s="434" t="s">
        <v>191</v>
      </c>
      <c r="D74" s="434">
        <v>0</v>
      </c>
      <c r="E74" s="434">
        <v>1.9213973799126639E-2</v>
      </c>
      <c r="F74" s="434">
        <v>4.7161572052401755E-2</v>
      </c>
      <c r="G74" s="434">
        <v>0.3268558951965066</v>
      </c>
      <c r="H74" s="434">
        <v>0</v>
      </c>
      <c r="I74" s="444" t="e">
        <f>NA()</f>
        <v>#N/A</v>
      </c>
      <c r="W74" s="434"/>
    </row>
    <row r="75" spans="1:23" s="443" customFormat="1" x14ac:dyDescent="0.25">
      <c r="A75" s="434" t="s">
        <v>344</v>
      </c>
      <c r="B75" s="434" t="s">
        <v>149</v>
      </c>
      <c r="C75" s="434" t="s">
        <v>191</v>
      </c>
      <c r="D75" s="434">
        <v>0</v>
      </c>
      <c r="E75" s="434">
        <v>6.1326936740167329E-3</v>
      </c>
      <c r="F75" s="434">
        <v>6.229525679395944E-2</v>
      </c>
      <c r="G75" s="434">
        <v>0.24369388020434909</v>
      </c>
      <c r="H75" s="434">
        <v>0</v>
      </c>
      <c r="I75" s="444" t="e">
        <f>NA()</f>
        <v>#N/A</v>
      </c>
      <c r="W75" s="434"/>
    </row>
    <row r="76" spans="1:23" s="443" customFormat="1" x14ac:dyDescent="0.25">
      <c r="A76" s="434" t="s">
        <v>256</v>
      </c>
      <c r="B76" s="434" t="s">
        <v>171</v>
      </c>
      <c r="C76" s="434" t="s">
        <v>191</v>
      </c>
      <c r="D76" s="434">
        <v>0.34112343966712899</v>
      </c>
      <c r="E76" s="434">
        <v>0.4323162274618586</v>
      </c>
      <c r="F76" s="434">
        <v>0.1069001386962552</v>
      </c>
      <c r="G76" s="434">
        <v>0.34802357836338421</v>
      </c>
      <c r="H76" s="434">
        <v>7.9368932038834966E-2</v>
      </c>
      <c r="I76" s="444" t="e">
        <f>NA()</f>
        <v>#N/A</v>
      </c>
      <c r="W76" s="434"/>
    </row>
    <row r="77" spans="1:23" s="443" customFormat="1" x14ac:dyDescent="0.25">
      <c r="A77" s="434" t="s">
        <v>257</v>
      </c>
      <c r="B77" s="434" t="s">
        <v>171</v>
      </c>
      <c r="C77" s="434" t="s">
        <v>191</v>
      </c>
      <c r="D77" s="434">
        <v>0</v>
      </c>
      <c r="E77" s="434">
        <v>0.43216685330347149</v>
      </c>
      <c r="F77" s="434">
        <v>0.16651735722284433</v>
      </c>
      <c r="G77" s="434">
        <v>0.48653415453527438</v>
      </c>
      <c r="H77" s="434">
        <v>4.1349384098544231E-2</v>
      </c>
      <c r="I77" s="444" t="e">
        <f>NA()</f>
        <v>#N/A</v>
      </c>
      <c r="W77" s="434"/>
    </row>
    <row r="78" spans="1:23" s="443" customFormat="1" x14ac:dyDescent="0.25">
      <c r="A78" s="434" t="s">
        <v>258</v>
      </c>
      <c r="B78" s="434" t="s">
        <v>175</v>
      </c>
      <c r="C78" s="434" t="s">
        <v>191</v>
      </c>
      <c r="D78" s="434">
        <v>0</v>
      </c>
      <c r="E78" s="434">
        <v>0.35913705583756345</v>
      </c>
      <c r="F78" s="434">
        <v>7.0630891950688904E-2</v>
      </c>
      <c r="G78" s="434">
        <v>0.52907904278462647</v>
      </c>
      <c r="H78" s="434">
        <v>9.7897026831036981E-4</v>
      </c>
      <c r="I78" s="444" t="e">
        <f>NA()</f>
        <v>#N/A</v>
      </c>
      <c r="W78" s="434"/>
    </row>
    <row r="79" spans="1:23" s="443" customFormat="1" x14ac:dyDescent="0.25">
      <c r="A79" s="434" t="s">
        <v>259</v>
      </c>
      <c r="B79" s="434" t="s">
        <v>175</v>
      </c>
      <c r="C79" s="434" t="s">
        <v>191</v>
      </c>
      <c r="D79" s="434">
        <v>0</v>
      </c>
      <c r="E79" s="434">
        <v>2.0735444330949947E-2</v>
      </c>
      <c r="F79" s="434">
        <v>5.7099080694586309E-2</v>
      </c>
      <c r="G79" s="434">
        <v>0.27872829417773237</v>
      </c>
      <c r="H79" s="434">
        <v>7.9162410623084779E-4</v>
      </c>
      <c r="I79" s="444" t="e">
        <f>NA()</f>
        <v>#N/A</v>
      </c>
      <c r="W79" s="434"/>
    </row>
    <row r="80" spans="1:23" s="443" customFormat="1" x14ac:dyDescent="0.25">
      <c r="A80" s="434" t="s">
        <v>260</v>
      </c>
      <c r="B80" s="434" t="s">
        <v>122</v>
      </c>
      <c r="C80" s="434" t="s">
        <v>191</v>
      </c>
      <c r="D80" s="434">
        <v>0</v>
      </c>
      <c r="E80" s="434">
        <v>0</v>
      </c>
      <c r="F80" s="434">
        <v>3.5046728971962621E-2</v>
      </c>
      <c r="G80" s="434">
        <v>0.16915887850467293</v>
      </c>
      <c r="H80" s="434">
        <v>1.4485981308411215E-2</v>
      </c>
      <c r="I80" s="444" t="e">
        <f>NA()</f>
        <v>#N/A</v>
      </c>
      <c r="W80" s="434"/>
    </row>
    <row r="81" spans="1:23" s="443" customFormat="1" x14ac:dyDescent="0.25">
      <c r="A81" s="434" t="s">
        <v>261</v>
      </c>
      <c r="B81" s="434" t="s">
        <v>122</v>
      </c>
      <c r="C81" s="434" t="s">
        <v>191</v>
      </c>
      <c r="D81" s="434">
        <v>0</v>
      </c>
      <c r="E81" s="434">
        <v>0</v>
      </c>
      <c r="F81" s="434">
        <v>4.6890286512928023E-2</v>
      </c>
      <c r="G81" s="434">
        <v>0.19804332634521316</v>
      </c>
      <c r="H81" s="434">
        <v>0</v>
      </c>
      <c r="I81" s="444" t="e">
        <f>NA()</f>
        <v>#N/A</v>
      </c>
      <c r="W81" s="434"/>
    </row>
    <row r="82" spans="1:23" s="443" customFormat="1" x14ac:dyDescent="0.25">
      <c r="A82" s="434" t="s">
        <v>262</v>
      </c>
      <c r="B82" s="434" t="s">
        <v>122</v>
      </c>
      <c r="C82" s="434" t="s">
        <v>191</v>
      </c>
      <c r="D82" s="434">
        <v>0</v>
      </c>
      <c r="E82" s="434">
        <v>0</v>
      </c>
      <c r="F82" s="434">
        <v>9.4794188861985484E-2</v>
      </c>
      <c r="G82" s="434">
        <v>0.19782082324455208</v>
      </c>
      <c r="H82" s="434">
        <v>0</v>
      </c>
      <c r="I82" s="444" t="e">
        <f>NA()</f>
        <v>#N/A</v>
      </c>
      <c r="W82" s="434"/>
    </row>
    <row r="83" spans="1:23" s="443" customFormat="1" x14ac:dyDescent="0.25">
      <c r="A83" s="434" t="s">
        <v>345</v>
      </c>
      <c r="B83" s="434" t="s">
        <v>149</v>
      </c>
      <c r="C83" s="434" t="s">
        <v>191</v>
      </c>
      <c r="D83" s="434">
        <v>6.7301038062283741E-2</v>
      </c>
      <c r="E83" s="434">
        <v>2.0847750865051907E-2</v>
      </c>
      <c r="F83" s="434">
        <v>0</v>
      </c>
      <c r="G83" s="434">
        <v>3.7110726643598616E-2</v>
      </c>
      <c r="H83" s="434">
        <v>9.8442906574394473E-2</v>
      </c>
      <c r="I83" s="444" t="e">
        <f>NA()</f>
        <v>#N/A</v>
      </c>
      <c r="W83" s="434"/>
    </row>
    <row r="84" spans="1:23" s="443" customFormat="1" x14ac:dyDescent="0.25">
      <c r="A84" s="434" t="s">
        <v>263</v>
      </c>
      <c r="B84" s="434" t="s">
        <v>149</v>
      </c>
      <c r="C84" s="434" t="s">
        <v>191</v>
      </c>
      <c r="D84" s="434">
        <v>0</v>
      </c>
      <c r="E84" s="434">
        <v>2.0910534674430914E-3</v>
      </c>
      <c r="F84" s="434">
        <v>0</v>
      </c>
      <c r="G84" s="434">
        <v>3.8935944944415032E-2</v>
      </c>
      <c r="H84" s="434">
        <v>5.2938062466913714E-4</v>
      </c>
      <c r="I84" s="444" t="e">
        <f>NA()</f>
        <v>#N/A</v>
      </c>
      <c r="W84" s="434"/>
    </row>
    <row r="85" spans="1:23" s="443" customFormat="1" x14ac:dyDescent="0.25">
      <c r="A85" s="434" t="s">
        <v>346</v>
      </c>
      <c r="B85" s="434" t="s">
        <v>149</v>
      </c>
      <c r="C85" s="434" t="s">
        <v>191</v>
      </c>
      <c r="D85" s="434">
        <v>2.9418934495912277E-2</v>
      </c>
      <c r="E85" s="434">
        <v>2.3225474602036012E-3</v>
      </c>
      <c r="F85" s="434">
        <v>0</v>
      </c>
      <c r="G85" s="434">
        <v>9.5224445868347635E-2</v>
      </c>
      <c r="H85" s="434">
        <v>1.4623446971652302E-2</v>
      </c>
      <c r="I85" s="444" t="e">
        <f>NA()</f>
        <v>#N/A</v>
      </c>
      <c r="W85" s="434"/>
    </row>
    <row r="86" spans="1:23" s="443" customFormat="1" x14ac:dyDescent="0.25">
      <c r="A86" s="434" t="s">
        <v>347</v>
      </c>
      <c r="B86" s="434" t="s">
        <v>149</v>
      </c>
      <c r="C86" s="434" t="s">
        <v>191</v>
      </c>
      <c r="D86" s="434">
        <v>0</v>
      </c>
      <c r="E86" s="434">
        <v>2.8869327032891401E-3</v>
      </c>
      <c r="F86" s="434">
        <v>6.9767540329487548E-3</v>
      </c>
      <c r="G86" s="434">
        <v>0.14025681383479738</v>
      </c>
      <c r="H86" s="434">
        <v>0</v>
      </c>
      <c r="I86" s="444" t="e">
        <f>NA()</f>
        <v>#N/A</v>
      </c>
      <c r="W86" s="434"/>
    </row>
    <row r="87" spans="1:23" s="443" customFormat="1" x14ac:dyDescent="0.25">
      <c r="A87" s="434" t="s">
        <v>348</v>
      </c>
      <c r="B87" s="434" t="s">
        <v>149</v>
      </c>
      <c r="C87" s="434" t="s">
        <v>191</v>
      </c>
      <c r="D87" s="434">
        <v>0</v>
      </c>
      <c r="E87" s="434">
        <v>2.8783650886296582E-3</v>
      </c>
      <c r="F87" s="434">
        <v>1.4711643786329366E-2</v>
      </c>
      <c r="G87" s="434">
        <v>0.17813881715185775</v>
      </c>
      <c r="H87" s="434">
        <v>0</v>
      </c>
      <c r="I87" s="444" t="e">
        <f>NA()</f>
        <v>#N/A</v>
      </c>
      <c r="W87" s="434"/>
    </row>
    <row r="88" spans="1:23" s="443" customFormat="1" x14ac:dyDescent="0.25">
      <c r="A88" s="434" t="s">
        <v>349</v>
      </c>
      <c r="B88" s="434" t="s">
        <v>149</v>
      </c>
      <c r="C88" s="434" t="s">
        <v>191</v>
      </c>
      <c r="D88" s="434">
        <v>0</v>
      </c>
      <c r="E88" s="434">
        <v>3.3319043628497165E-3</v>
      </c>
      <c r="F88" s="434">
        <v>2.7571508602581403E-2</v>
      </c>
      <c r="G88" s="434">
        <v>0.18716972758308281</v>
      </c>
      <c r="H88" s="434">
        <v>0</v>
      </c>
      <c r="I88" s="444" t="e">
        <f>NA()</f>
        <v>#N/A</v>
      </c>
      <c r="W88" s="434"/>
    </row>
    <row r="89" spans="1:23" s="443" customFormat="1" x14ac:dyDescent="0.25">
      <c r="A89" s="434" t="s">
        <v>264</v>
      </c>
      <c r="B89" s="434" t="s">
        <v>171</v>
      </c>
      <c r="C89" s="434" t="s">
        <v>191</v>
      </c>
      <c r="D89" s="434">
        <v>0</v>
      </c>
      <c r="E89" s="434">
        <v>2.6742627345844507E-2</v>
      </c>
      <c r="F89" s="434">
        <v>0.14470509383378016</v>
      </c>
      <c r="G89" s="434">
        <v>0.32587131367292227</v>
      </c>
      <c r="H89" s="434">
        <v>0</v>
      </c>
      <c r="I89" s="444" t="e">
        <f>NA()</f>
        <v>#N/A</v>
      </c>
      <c r="W89" s="434"/>
    </row>
    <row r="90" spans="1:23" s="443" customFormat="1" x14ac:dyDescent="0.25">
      <c r="A90" s="434" t="s">
        <v>265</v>
      </c>
      <c r="B90" s="434" t="s">
        <v>171</v>
      </c>
      <c r="C90" s="434" t="s">
        <v>191</v>
      </c>
      <c r="D90" s="434">
        <v>0</v>
      </c>
      <c r="E90" s="434">
        <v>6.0244744273611544E-3</v>
      </c>
      <c r="F90" s="434">
        <v>0.12431754000627548</v>
      </c>
      <c r="G90" s="434">
        <v>0.23649199874490118</v>
      </c>
      <c r="H90" s="434">
        <v>0</v>
      </c>
      <c r="I90" s="444" t="e">
        <f>NA()</f>
        <v>#N/A</v>
      </c>
      <c r="W90" s="434"/>
    </row>
    <row r="91" spans="1:23" s="443" customFormat="1" x14ac:dyDescent="0.25">
      <c r="A91" s="434" t="s">
        <v>266</v>
      </c>
      <c r="B91" s="434" t="s">
        <v>171</v>
      </c>
      <c r="C91" s="434" t="s">
        <v>191</v>
      </c>
      <c r="D91" s="434">
        <v>0</v>
      </c>
      <c r="E91" s="434">
        <v>3.4838709677419357E-3</v>
      </c>
      <c r="F91" s="434">
        <v>0.16425806451612904</v>
      </c>
      <c r="G91" s="434">
        <v>0.22993548387096774</v>
      </c>
      <c r="H91" s="434">
        <v>0</v>
      </c>
      <c r="I91" s="444" t="e">
        <f>NA()</f>
        <v>#N/A</v>
      </c>
      <c r="W91" s="434"/>
    </row>
    <row r="92" spans="1:23" s="443" customFormat="1" x14ac:dyDescent="0.25">
      <c r="A92" s="434" t="s">
        <v>267</v>
      </c>
      <c r="B92" s="434" t="s">
        <v>171</v>
      </c>
      <c r="C92" s="434" t="s">
        <v>191</v>
      </c>
      <c r="D92" s="434">
        <v>0</v>
      </c>
      <c r="E92" s="434">
        <v>2.0517464424320828E-2</v>
      </c>
      <c r="F92" s="434">
        <v>0.15777490297542043</v>
      </c>
      <c r="G92" s="434">
        <v>0.27534282018111256</v>
      </c>
      <c r="H92" s="434">
        <v>0</v>
      </c>
      <c r="I92" s="444" t="e">
        <f>NA()</f>
        <v>#N/A</v>
      </c>
      <c r="W92" s="434"/>
    </row>
    <row r="93" spans="1:23" s="443" customFormat="1" x14ac:dyDescent="0.25">
      <c r="A93" s="434" t="s">
        <v>268</v>
      </c>
      <c r="B93" s="434" t="s">
        <v>171</v>
      </c>
      <c r="C93" s="434" t="s">
        <v>191</v>
      </c>
      <c r="D93" s="434">
        <v>0</v>
      </c>
      <c r="E93" s="434">
        <v>1.8340026773761713E-2</v>
      </c>
      <c r="F93" s="434">
        <v>0.31981258366800536</v>
      </c>
      <c r="G93" s="434">
        <v>0.38915662650602406</v>
      </c>
      <c r="H93" s="434">
        <v>9.3708165997322633E-4</v>
      </c>
      <c r="I93" s="444" t="e">
        <f>NA()</f>
        <v>#N/A</v>
      </c>
      <c r="W93" s="434"/>
    </row>
    <row r="94" spans="1:23" s="443" customFormat="1" x14ac:dyDescent="0.25">
      <c r="A94" s="434" t="s">
        <v>269</v>
      </c>
      <c r="B94" s="434" t="s">
        <v>171</v>
      </c>
      <c r="C94" s="434" t="s">
        <v>191</v>
      </c>
      <c r="D94" s="434">
        <v>0</v>
      </c>
      <c r="E94" s="434">
        <v>2.0938215102974826E-2</v>
      </c>
      <c r="F94" s="434">
        <v>0.37471395881006864</v>
      </c>
      <c r="G94" s="434">
        <v>0.4003432494279176</v>
      </c>
      <c r="H94" s="434">
        <v>1.3729977116704805E-3</v>
      </c>
      <c r="I94" s="444" t="e">
        <f>NA()</f>
        <v>#N/A</v>
      </c>
      <c r="W94" s="434"/>
    </row>
    <row r="95" spans="1:23" s="443" customFormat="1" x14ac:dyDescent="0.25">
      <c r="A95" s="434" t="s">
        <v>270</v>
      </c>
      <c r="B95" s="434" t="s">
        <v>175</v>
      </c>
      <c r="C95" s="434" t="s">
        <v>191</v>
      </c>
      <c r="D95" s="434">
        <v>0</v>
      </c>
      <c r="E95" s="434">
        <v>0.13839009287925697</v>
      </c>
      <c r="F95" s="434">
        <v>0.12687306501547987</v>
      </c>
      <c r="G95" s="434">
        <v>0.55999999999999994</v>
      </c>
      <c r="H95" s="434">
        <v>1.5479876160990713E-3</v>
      </c>
      <c r="I95" s="444" t="e">
        <f>NA()</f>
        <v>#N/A</v>
      </c>
      <c r="W95" s="434"/>
    </row>
    <row r="96" spans="1:23" s="443" customFormat="1" x14ac:dyDescent="0.25">
      <c r="A96" s="434" t="s">
        <v>271</v>
      </c>
      <c r="B96" s="434" t="s">
        <v>175</v>
      </c>
      <c r="C96" s="434" t="s">
        <v>191</v>
      </c>
      <c r="D96" s="434">
        <v>0</v>
      </c>
      <c r="E96" s="434">
        <v>0</v>
      </c>
      <c r="F96" s="434">
        <v>2.6041666666666664E-2</v>
      </c>
      <c r="G96" s="434">
        <v>0.16770833333333332</v>
      </c>
      <c r="H96" s="434">
        <v>0</v>
      </c>
      <c r="I96" s="444" t="e">
        <f>NA()</f>
        <v>#N/A</v>
      </c>
      <c r="W96" s="434"/>
    </row>
    <row r="97" spans="1:23" s="443" customFormat="1" x14ac:dyDescent="0.25">
      <c r="A97" s="434" t="s">
        <v>272</v>
      </c>
      <c r="B97" s="434" t="s">
        <v>171</v>
      </c>
      <c r="C97" s="434" t="s">
        <v>191</v>
      </c>
      <c r="D97" s="434">
        <v>0.33217592592592587</v>
      </c>
      <c r="E97" s="434">
        <v>0.16423611111111108</v>
      </c>
      <c r="F97" s="434">
        <v>0.19386574074074073</v>
      </c>
      <c r="G97" s="434">
        <v>0.390625</v>
      </c>
      <c r="H97" s="434">
        <v>0.17743055555555554</v>
      </c>
      <c r="I97" s="444" t="e">
        <f>NA()</f>
        <v>#N/A</v>
      </c>
      <c r="W97" s="434"/>
    </row>
    <row r="98" spans="1:23" s="443" customFormat="1" x14ac:dyDescent="0.25">
      <c r="A98" s="434" t="s">
        <v>273</v>
      </c>
      <c r="B98" s="434" t="s">
        <v>188</v>
      </c>
      <c r="C98" s="434" t="s">
        <v>191</v>
      </c>
      <c r="D98" s="434">
        <v>0</v>
      </c>
      <c r="E98" s="434">
        <v>4.3718592964824124E-2</v>
      </c>
      <c r="F98" s="434">
        <v>9.0954773869346736E-2</v>
      </c>
      <c r="G98" s="434">
        <v>0.29798994974874371</v>
      </c>
      <c r="H98" s="434">
        <v>0</v>
      </c>
      <c r="I98" s="444" t="e">
        <f>NA()</f>
        <v>#N/A</v>
      </c>
      <c r="W98" s="434"/>
    </row>
    <row r="99" spans="1:23" s="443" customFormat="1" x14ac:dyDescent="0.25">
      <c r="A99" s="434" t="s">
        <v>274</v>
      </c>
      <c r="B99" s="434" t="s">
        <v>171</v>
      </c>
      <c r="C99" s="434" t="s">
        <v>191</v>
      </c>
      <c r="D99" s="434">
        <v>0</v>
      </c>
      <c r="E99" s="434">
        <v>0.19696969696969696</v>
      </c>
      <c r="F99" s="434">
        <v>0.31767676767676767</v>
      </c>
      <c r="G99" s="434">
        <v>0.51464646464646457</v>
      </c>
      <c r="H99" s="434">
        <v>4.0404040404040404E-3</v>
      </c>
      <c r="I99" s="444" t="e">
        <f>NA()</f>
        <v>#N/A</v>
      </c>
      <c r="W99" s="434"/>
    </row>
    <row r="100" spans="1:23" s="443" customFormat="1" x14ac:dyDescent="0.25">
      <c r="A100" s="434" t="s">
        <v>275</v>
      </c>
      <c r="B100" s="434" t="s">
        <v>171</v>
      </c>
      <c r="C100" s="434" t="s">
        <v>191</v>
      </c>
      <c r="D100" s="434">
        <v>0.36257183908045981</v>
      </c>
      <c r="E100" s="434">
        <v>0.25474137931034485</v>
      </c>
      <c r="F100" s="434">
        <v>0.32090517241379313</v>
      </c>
      <c r="G100" s="434">
        <v>0.50093390804597704</v>
      </c>
      <c r="H100" s="434">
        <v>1.6810344827586206E-2</v>
      </c>
      <c r="I100" s="444" t="e">
        <f>NA()</f>
        <v>#N/A</v>
      </c>
      <c r="W100" s="434"/>
    </row>
    <row r="101" spans="1:23" s="443" customFormat="1" x14ac:dyDescent="0.25">
      <c r="A101" s="434" t="s">
        <v>276</v>
      </c>
      <c r="B101" s="434" t="s">
        <v>175</v>
      </c>
      <c r="C101" s="434" t="s">
        <v>191</v>
      </c>
      <c r="D101" s="434">
        <v>0.3681141439205956</v>
      </c>
      <c r="E101" s="434">
        <v>0.40446650124069483</v>
      </c>
      <c r="F101" s="434">
        <v>0.14416873449131515</v>
      </c>
      <c r="G101" s="434">
        <v>0.40880893300248144</v>
      </c>
      <c r="H101" s="434">
        <v>5.3598014888337479E-2</v>
      </c>
      <c r="I101" s="444" t="e">
        <f>NA()</f>
        <v>#N/A</v>
      </c>
      <c r="W101" s="434"/>
    </row>
    <row r="102" spans="1:23" s="443" customFormat="1" x14ac:dyDescent="0.25">
      <c r="A102" s="434" t="s">
        <v>277</v>
      </c>
      <c r="B102" s="434" t="s">
        <v>185</v>
      </c>
      <c r="C102" s="434" t="s">
        <v>191</v>
      </c>
      <c r="D102" s="434">
        <v>0.16350000000000001</v>
      </c>
      <c r="E102" s="434">
        <v>5.3249999999999999E-2</v>
      </c>
      <c r="F102" s="434">
        <v>2.1749999999999999E-2</v>
      </c>
      <c r="G102" s="434">
        <v>0.23475000000000001</v>
      </c>
      <c r="H102" s="434">
        <v>0.45450000000000002</v>
      </c>
      <c r="I102" s="444" t="e">
        <f>NA()</f>
        <v>#N/A</v>
      </c>
      <c r="W102" s="434"/>
    </row>
    <row r="103" spans="1:23" s="443" customFormat="1" x14ac:dyDescent="0.25">
      <c r="A103" s="434" t="s">
        <v>278</v>
      </c>
      <c r="B103" s="434" t="s">
        <v>185</v>
      </c>
      <c r="C103" s="434" t="s">
        <v>191</v>
      </c>
      <c r="D103" s="434">
        <v>0.20609137055837562</v>
      </c>
      <c r="E103" s="434">
        <v>5.3299492385786809E-2</v>
      </c>
      <c r="F103" s="434">
        <v>3.654822335025381E-2</v>
      </c>
      <c r="G103" s="434">
        <v>0.2517766497461929</v>
      </c>
      <c r="H103" s="434">
        <v>0.31827411167512687</v>
      </c>
      <c r="I103" s="444" t="e">
        <f>NA()</f>
        <v>#N/A</v>
      </c>
      <c r="W103" s="434"/>
    </row>
    <row r="104" spans="1:23" s="443" customFormat="1" x14ac:dyDescent="0.25">
      <c r="A104" s="434" t="s">
        <v>279</v>
      </c>
      <c r="B104" s="434" t="s">
        <v>175</v>
      </c>
      <c r="C104" s="434" t="s">
        <v>191</v>
      </c>
      <c r="D104" s="434">
        <v>0</v>
      </c>
      <c r="E104" s="434">
        <v>0.14838709677419357</v>
      </c>
      <c r="F104" s="434">
        <v>0.34055299539170508</v>
      </c>
      <c r="G104" s="434">
        <v>0.59331797235023043</v>
      </c>
      <c r="H104" s="434">
        <v>4.147465437788018E-3</v>
      </c>
      <c r="I104" s="444" t="e">
        <f>NA()</f>
        <v>#N/A</v>
      </c>
      <c r="W104" s="434"/>
    </row>
    <row r="105" spans="1:23" s="443" customFormat="1" x14ac:dyDescent="0.25">
      <c r="A105" s="434" t="s">
        <v>280</v>
      </c>
      <c r="B105" s="434" t="s">
        <v>185</v>
      </c>
      <c r="C105" s="434" t="s">
        <v>191</v>
      </c>
      <c r="D105" s="434">
        <v>0.16350000000000001</v>
      </c>
      <c r="E105" s="434">
        <v>5.3249999999999999E-2</v>
      </c>
      <c r="F105" s="434">
        <v>2.1749999999999999E-2</v>
      </c>
      <c r="G105" s="434">
        <v>0.23475000000000001</v>
      </c>
      <c r="H105" s="434">
        <v>0.42449999999999999</v>
      </c>
      <c r="I105" s="444" t="e">
        <f>NA()</f>
        <v>#N/A</v>
      </c>
      <c r="W105" s="434"/>
    </row>
    <row r="106" spans="1:23" s="443" customFormat="1" x14ac:dyDescent="0.25">
      <c r="A106" s="434" t="s">
        <v>281</v>
      </c>
      <c r="B106" s="434" t="s">
        <v>185</v>
      </c>
      <c r="C106" s="434" t="s">
        <v>191</v>
      </c>
      <c r="D106" s="434">
        <v>0.16350000000000001</v>
      </c>
      <c r="E106" s="434">
        <v>5.3249999999999999E-2</v>
      </c>
      <c r="F106" s="434">
        <v>2.7500000000000004E-2</v>
      </c>
      <c r="G106" s="434">
        <v>0.23475000000000001</v>
      </c>
      <c r="H106" s="434">
        <v>0.35350000000000004</v>
      </c>
      <c r="I106" s="444" t="e">
        <f>NA()</f>
        <v>#N/A</v>
      </c>
      <c r="W106" s="434"/>
    </row>
    <row r="107" spans="1:23" s="443" customFormat="1" x14ac:dyDescent="0.25">
      <c r="A107" s="434" t="s">
        <v>282</v>
      </c>
      <c r="B107" s="434" t="s">
        <v>185</v>
      </c>
      <c r="C107" s="434" t="s">
        <v>191</v>
      </c>
      <c r="D107" s="434">
        <v>0.16350000000000001</v>
      </c>
      <c r="E107" s="434">
        <v>5.3249999999999999E-2</v>
      </c>
      <c r="F107" s="434">
        <v>1.4999999999999999E-2</v>
      </c>
      <c r="G107" s="434">
        <v>0.23475000000000001</v>
      </c>
      <c r="H107" s="434">
        <v>0.51800000000000002</v>
      </c>
      <c r="I107" s="444" t="e">
        <f>NA()</f>
        <v>#N/A</v>
      </c>
      <c r="W107" s="434"/>
    </row>
    <row r="108" spans="1:23" s="443" customFormat="1" x14ac:dyDescent="0.25">
      <c r="A108" s="434" t="s">
        <v>283</v>
      </c>
      <c r="B108" s="434" t="s">
        <v>185</v>
      </c>
      <c r="C108" s="434" t="s">
        <v>191</v>
      </c>
      <c r="D108" s="434">
        <v>0.16350000000000001</v>
      </c>
      <c r="E108" s="434">
        <v>5.3249999999999999E-2</v>
      </c>
      <c r="F108" s="434">
        <v>2.7500000000000004E-2</v>
      </c>
      <c r="G108" s="434">
        <v>0.23475000000000001</v>
      </c>
      <c r="H108" s="434">
        <v>0.34675</v>
      </c>
      <c r="I108" s="444" t="e">
        <f>NA()</f>
        <v>#N/A</v>
      </c>
      <c r="W108" s="434"/>
    </row>
    <row r="109" spans="1:23" s="443" customFormat="1" x14ac:dyDescent="0.25">
      <c r="A109" s="434" t="s">
        <v>284</v>
      </c>
      <c r="B109" s="434" t="s">
        <v>185</v>
      </c>
      <c r="C109" s="434" t="s">
        <v>191</v>
      </c>
      <c r="D109" s="434">
        <v>0.22174999999999997</v>
      </c>
      <c r="E109" s="434">
        <v>5.3249999999999999E-2</v>
      </c>
      <c r="F109" s="434">
        <v>4.0999999999999995E-2</v>
      </c>
      <c r="G109" s="434">
        <v>0.2515</v>
      </c>
      <c r="H109" s="434">
        <v>0.20024999999999998</v>
      </c>
      <c r="I109" s="444" t="e">
        <f>NA()</f>
        <v>#N/A</v>
      </c>
      <c r="W109" s="434"/>
    </row>
    <row r="110" spans="1:23" s="443" customFormat="1" x14ac:dyDescent="0.25">
      <c r="A110" s="434" t="s">
        <v>285</v>
      </c>
      <c r="B110" s="434" t="s">
        <v>185</v>
      </c>
      <c r="C110" s="434" t="s">
        <v>191</v>
      </c>
      <c r="D110" s="434">
        <v>0.16350000000000001</v>
      </c>
      <c r="E110" s="434">
        <v>5.3249999999999999E-2</v>
      </c>
      <c r="F110" s="434">
        <v>3.2500000000000001E-2</v>
      </c>
      <c r="G110" s="434">
        <v>0.23475000000000001</v>
      </c>
      <c r="H110" s="434">
        <v>0.30599999999999999</v>
      </c>
      <c r="I110" s="444" t="e">
        <f>NA()</f>
        <v>#N/A</v>
      </c>
      <c r="W110" s="434"/>
    </row>
    <row r="111" spans="1:23" s="443" customFormat="1" x14ac:dyDescent="0.25">
      <c r="A111" s="434" t="s">
        <v>286</v>
      </c>
      <c r="B111" s="434" t="s">
        <v>185</v>
      </c>
      <c r="C111" s="434" t="s">
        <v>191</v>
      </c>
      <c r="D111" s="434">
        <v>0.16350000000000001</v>
      </c>
      <c r="E111" s="434">
        <v>5.3249999999999999E-2</v>
      </c>
      <c r="F111" s="434">
        <v>1.4999999999999999E-2</v>
      </c>
      <c r="G111" s="434">
        <v>0.23475000000000001</v>
      </c>
      <c r="H111" s="434">
        <v>0.44600000000000001</v>
      </c>
      <c r="I111" s="444" t="e">
        <f>NA()</f>
        <v>#N/A</v>
      </c>
      <c r="W111" s="434"/>
    </row>
    <row r="112" spans="1:23" s="443" customFormat="1" x14ac:dyDescent="0.25">
      <c r="A112" s="434" t="s">
        <v>287</v>
      </c>
      <c r="B112" s="434" t="s">
        <v>185</v>
      </c>
      <c r="C112" s="434" t="s">
        <v>191</v>
      </c>
      <c r="D112" s="434">
        <v>0.16350000000000001</v>
      </c>
      <c r="E112" s="434">
        <v>5.3249999999999999E-2</v>
      </c>
      <c r="F112" s="434">
        <v>1.4999999999999999E-2</v>
      </c>
      <c r="G112" s="434">
        <v>0.23475000000000001</v>
      </c>
      <c r="H112" s="434">
        <v>0.44299999999999995</v>
      </c>
      <c r="I112" s="444" t="e">
        <f>NA()</f>
        <v>#N/A</v>
      </c>
      <c r="W112" s="434"/>
    </row>
    <row r="113" spans="1:23" s="443" customFormat="1" x14ac:dyDescent="0.25">
      <c r="A113" s="434" t="s">
        <v>288</v>
      </c>
      <c r="B113" s="434" t="s">
        <v>185</v>
      </c>
      <c r="C113" s="434" t="s">
        <v>191</v>
      </c>
      <c r="D113" s="434">
        <v>0.16350000000000001</v>
      </c>
      <c r="E113" s="434">
        <v>5.3249999999999999E-2</v>
      </c>
      <c r="F113" s="434">
        <v>2.7500000000000004E-2</v>
      </c>
      <c r="G113" s="434">
        <v>0.23475000000000001</v>
      </c>
      <c r="H113" s="434">
        <v>0.36049999999999999</v>
      </c>
      <c r="I113" s="444" t="e">
        <f>NA()</f>
        <v>#N/A</v>
      </c>
      <c r="W113" s="434"/>
    </row>
    <row r="114" spans="1:23" s="443" customFormat="1" x14ac:dyDescent="0.25">
      <c r="A114" s="434" t="s">
        <v>289</v>
      </c>
      <c r="B114" s="434" t="s">
        <v>185</v>
      </c>
      <c r="C114" s="434" t="s">
        <v>191</v>
      </c>
      <c r="D114" s="434">
        <v>0.16350000000000001</v>
      </c>
      <c r="E114" s="434">
        <v>5.3249999999999999E-2</v>
      </c>
      <c r="F114" s="434">
        <v>1.4999999999999999E-2</v>
      </c>
      <c r="G114" s="434">
        <v>0.23475000000000001</v>
      </c>
      <c r="H114" s="434">
        <v>0.35299999999999998</v>
      </c>
      <c r="I114" s="444" t="e">
        <f>NA()</f>
        <v>#N/A</v>
      </c>
      <c r="W114" s="434"/>
    </row>
    <row r="115" spans="1:23" s="443" customFormat="1" x14ac:dyDescent="0.25">
      <c r="A115" s="434" t="s">
        <v>290</v>
      </c>
      <c r="B115" s="434" t="s">
        <v>185</v>
      </c>
      <c r="C115" s="434" t="s">
        <v>191</v>
      </c>
      <c r="D115" s="434">
        <v>0.16350000000000001</v>
      </c>
      <c r="E115" s="434">
        <v>5.3249999999999999E-2</v>
      </c>
      <c r="F115" s="434">
        <v>1.4999999999999999E-2</v>
      </c>
      <c r="G115" s="434">
        <v>0.23475000000000001</v>
      </c>
      <c r="H115" s="434">
        <v>0.44524999999999998</v>
      </c>
      <c r="I115" s="444" t="e">
        <f>NA()</f>
        <v>#N/A</v>
      </c>
      <c r="W115" s="434"/>
    </row>
    <row r="116" spans="1:23" s="443" customFormat="1" x14ac:dyDescent="0.25">
      <c r="A116" s="434" t="s">
        <v>291</v>
      </c>
      <c r="B116" s="434" t="s">
        <v>185</v>
      </c>
      <c r="C116" s="434" t="s">
        <v>191</v>
      </c>
      <c r="D116" s="434">
        <v>0.16350000000000001</v>
      </c>
      <c r="E116" s="434">
        <v>5.3249999999999999E-2</v>
      </c>
      <c r="F116" s="434">
        <v>1.4999999999999999E-2</v>
      </c>
      <c r="G116" s="434">
        <v>0.23475000000000001</v>
      </c>
      <c r="H116" s="434">
        <v>0.35175000000000001</v>
      </c>
      <c r="I116" s="444" t="e">
        <f>NA()</f>
        <v>#N/A</v>
      </c>
      <c r="W116" s="434"/>
    </row>
    <row r="117" spans="1:23" s="443" customFormat="1" x14ac:dyDescent="0.25">
      <c r="A117" s="434" t="s">
        <v>292</v>
      </c>
      <c r="B117" s="434" t="s">
        <v>185</v>
      </c>
      <c r="C117" s="434" t="s">
        <v>191</v>
      </c>
      <c r="D117" s="434">
        <v>0.16350000000000001</v>
      </c>
      <c r="E117" s="434">
        <v>5.3249999999999999E-2</v>
      </c>
      <c r="F117" s="434">
        <v>2.1749999999999999E-2</v>
      </c>
      <c r="G117" s="434">
        <v>0.23475000000000001</v>
      </c>
      <c r="H117" s="434">
        <v>0.48825000000000002</v>
      </c>
      <c r="I117" s="444" t="e">
        <f>NA()</f>
        <v>#N/A</v>
      </c>
      <c r="W117" s="434"/>
    </row>
    <row r="118" spans="1:23" s="443" customFormat="1" x14ac:dyDescent="0.25">
      <c r="A118" s="434" t="s">
        <v>293</v>
      </c>
      <c r="B118" s="434" t="s">
        <v>185</v>
      </c>
      <c r="C118" s="434" t="s">
        <v>191</v>
      </c>
      <c r="D118" s="434">
        <v>0.16350000000000001</v>
      </c>
      <c r="E118" s="434">
        <v>5.3249999999999999E-2</v>
      </c>
      <c r="F118" s="434">
        <v>2.7500000000000004E-2</v>
      </c>
      <c r="G118" s="434">
        <v>0.23475000000000001</v>
      </c>
      <c r="H118" s="434">
        <v>0.36375000000000002</v>
      </c>
      <c r="I118" s="444" t="e">
        <f>NA()</f>
        <v>#N/A</v>
      </c>
      <c r="W118" s="434"/>
    </row>
    <row r="119" spans="1:23" s="443" customFormat="1" x14ac:dyDescent="0.25">
      <c r="A119" s="434" t="s">
        <v>294</v>
      </c>
      <c r="B119" s="434" t="s">
        <v>185</v>
      </c>
      <c r="C119" s="434" t="s">
        <v>191</v>
      </c>
      <c r="D119" s="434">
        <v>0.16350000000000001</v>
      </c>
      <c r="E119" s="434">
        <v>5.3249999999999999E-2</v>
      </c>
      <c r="F119" s="434">
        <v>2.1749999999999999E-2</v>
      </c>
      <c r="G119" s="434">
        <v>0.23475000000000001</v>
      </c>
      <c r="H119" s="434">
        <v>0.38849999999999996</v>
      </c>
      <c r="I119" s="444" t="e">
        <f>NA()</f>
        <v>#N/A</v>
      </c>
      <c r="W119" s="434"/>
    </row>
    <row r="120" spans="1:23" s="443" customFormat="1" x14ac:dyDescent="0.25">
      <c r="A120" s="434" t="s">
        <v>295</v>
      </c>
      <c r="B120" s="434" t="s">
        <v>185</v>
      </c>
      <c r="C120" s="434" t="s">
        <v>191</v>
      </c>
      <c r="D120" s="434">
        <v>0.16350000000000001</v>
      </c>
      <c r="E120" s="434">
        <v>5.3249999999999999E-2</v>
      </c>
      <c r="F120" s="434">
        <v>2.1749999999999999E-2</v>
      </c>
      <c r="G120" s="434">
        <v>0.23475000000000001</v>
      </c>
      <c r="H120" s="434">
        <v>0.41325000000000001</v>
      </c>
      <c r="I120" s="444" t="e">
        <f>NA()</f>
        <v>#N/A</v>
      </c>
      <c r="W120" s="434"/>
    </row>
    <row r="121" spans="1:23" s="443" customFormat="1" x14ac:dyDescent="0.25">
      <c r="A121" s="434" t="s">
        <v>296</v>
      </c>
      <c r="B121" s="434" t="s">
        <v>185</v>
      </c>
      <c r="C121" s="434" t="s">
        <v>191</v>
      </c>
      <c r="D121" s="434">
        <v>0.16350000000000001</v>
      </c>
      <c r="E121" s="434">
        <v>5.3249999999999999E-2</v>
      </c>
      <c r="F121" s="434">
        <v>2.7500000000000004E-2</v>
      </c>
      <c r="G121" s="434">
        <v>0.23475000000000001</v>
      </c>
      <c r="H121" s="434">
        <v>0.28549999999999998</v>
      </c>
      <c r="I121" s="444" t="e">
        <f>NA()</f>
        <v>#N/A</v>
      </c>
      <c r="W121" s="434"/>
    </row>
    <row r="122" spans="1:23" s="443" customFormat="1" x14ac:dyDescent="0.25">
      <c r="A122" s="434" t="s">
        <v>297</v>
      </c>
      <c r="B122" s="434" t="s">
        <v>185</v>
      </c>
      <c r="C122" s="434" t="s">
        <v>191</v>
      </c>
      <c r="D122" s="434">
        <v>0.16350000000000001</v>
      </c>
      <c r="E122" s="434">
        <v>5.3249999999999999E-2</v>
      </c>
      <c r="F122" s="434">
        <v>2.7500000000000004E-2</v>
      </c>
      <c r="G122" s="434">
        <v>0.23475000000000001</v>
      </c>
      <c r="H122" s="434">
        <v>0.26150000000000001</v>
      </c>
      <c r="I122" s="444" t="e">
        <f>NA()</f>
        <v>#N/A</v>
      </c>
      <c r="W122" s="434"/>
    </row>
    <row r="123" spans="1:23" s="443" customFormat="1" x14ac:dyDescent="0.25">
      <c r="A123" s="434" t="s">
        <v>298</v>
      </c>
      <c r="B123" s="434" t="s">
        <v>185</v>
      </c>
      <c r="C123" s="434" t="s">
        <v>191</v>
      </c>
      <c r="D123" s="434">
        <v>0.16350000000000001</v>
      </c>
      <c r="E123" s="434">
        <v>5.3249999999999999E-2</v>
      </c>
      <c r="F123" s="434">
        <v>1.4999999999999999E-2</v>
      </c>
      <c r="G123" s="434">
        <v>0.23475000000000001</v>
      </c>
      <c r="H123" s="434">
        <v>0.4405</v>
      </c>
      <c r="I123" s="444" t="e">
        <f>NA()</f>
        <v>#N/A</v>
      </c>
      <c r="W123" s="434"/>
    </row>
    <row r="124" spans="1:23" s="443" customFormat="1" x14ac:dyDescent="0.25">
      <c r="A124" s="434" t="s">
        <v>299</v>
      </c>
      <c r="B124" s="434" t="s">
        <v>185</v>
      </c>
      <c r="C124" s="434" t="s">
        <v>191</v>
      </c>
      <c r="D124" s="434">
        <v>0.16350000000000001</v>
      </c>
      <c r="E124" s="434">
        <v>5.3249999999999999E-2</v>
      </c>
      <c r="F124" s="434">
        <v>1.4999999999999999E-2</v>
      </c>
      <c r="G124" s="434">
        <v>0.23475000000000001</v>
      </c>
      <c r="H124" s="434">
        <v>0.4365</v>
      </c>
      <c r="I124" s="444" t="e">
        <f>NA()</f>
        <v>#N/A</v>
      </c>
      <c r="W124" s="434"/>
    </row>
    <row r="125" spans="1:23" s="443" customFormat="1" x14ac:dyDescent="0.25">
      <c r="A125" s="434" t="s">
        <v>300</v>
      </c>
      <c r="B125" s="434" t="s">
        <v>185</v>
      </c>
      <c r="C125" s="434" t="s">
        <v>191</v>
      </c>
      <c r="D125" s="434">
        <v>0.16350000000000001</v>
      </c>
      <c r="E125" s="434">
        <v>5.3249999999999999E-2</v>
      </c>
      <c r="F125" s="434">
        <v>2.7500000000000004E-2</v>
      </c>
      <c r="G125" s="434">
        <v>0.23475000000000001</v>
      </c>
      <c r="H125" s="434">
        <v>0.27100000000000002</v>
      </c>
      <c r="I125" s="444" t="e">
        <f>NA()</f>
        <v>#N/A</v>
      </c>
      <c r="W125" s="434"/>
    </row>
    <row r="126" spans="1:23" s="443" customFormat="1" x14ac:dyDescent="0.25">
      <c r="A126" s="434" t="s">
        <v>301</v>
      </c>
      <c r="B126" s="434" t="s">
        <v>185</v>
      </c>
      <c r="C126" s="434" t="s">
        <v>191</v>
      </c>
      <c r="D126" s="434">
        <v>0.16350000000000001</v>
      </c>
      <c r="E126" s="434">
        <v>5.3249999999999999E-2</v>
      </c>
      <c r="F126" s="434">
        <v>1.4999999999999999E-2</v>
      </c>
      <c r="G126" s="434">
        <v>0.23475000000000001</v>
      </c>
      <c r="H126" s="434">
        <v>0.36875000000000002</v>
      </c>
      <c r="I126" s="444" t="e">
        <f>NA()</f>
        <v>#N/A</v>
      </c>
      <c r="W126" s="434"/>
    </row>
    <row r="127" spans="1:23" s="443" customFormat="1" x14ac:dyDescent="0.25">
      <c r="A127" s="434" t="s">
        <v>302</v>
      </c>
      <c r="B127" s="434" t="s">
        <v>185</v>
      </c>
      <c r="C127" s="434" t="s">
        <v>191</v>
      </c>
      <c r="D127" s="434">
        <v>0.16350000000000001</v>
      </c>
      <c r="E127" s="434">
        <v>5.3249999999999999E-2</v>
      </c>
      <c r="F127" s="434">
        <v>1.4999999999999999E-2</v>
      </c>
      <c r="G127" s="434">
        <v>0.23475000000000001</v>
      </c>
      <c r="H127" s="434">
        <v>0.35799999999999998</v>
      </c>
      <c r="I127" s="444" t="e">
        <f>NA()</f>
        <v>#N/A</v>
      </c>
      <c r="W127" s="434"/>
    </row>
    <row r="128" spans="1:23" s="443" customFormat="1" x14ac:dyDescent="0.25">
      <c r="A128" s="434" t="s">
        <v>303</v>
      </c>
      <c r="B128" s="434" t="s">
        <v>185</v>
      </c>
      <c r="C128" s="434" t="s">
        <v>191</v>
      </c>
      <c r="D128" s="434">
        <v>0.22174999999999997</v>
      </c>
      <c r="E128" s="434">
        <v>5.3249999999999999E-2</v>
      </c>
      <c r="F128" s="434">
        <v>3.2500000000000001E-2</v>
      </c>
      <c r="G128" s="434">
        <v>0.23475000000000001</v>
      </c>
      <c r="H128" s="434">
        <v>0.23525000000000001</v>
      </c>
      <c r="I128" s="444" t="e">
        <f>NA()</f>
        <v>#N/A</v>
      </c>
      <c r="W128" s="434"/>
    </row>
    <row r="129" spans="1:23" s="443" customFormat="1" x14ac:dyDescent="0.25">
      <c r="A129" s="434" t="s">
        <v>304</v>
      </c>
      <c r="B129" s="434" t="s">
        <v>185</v>
      </c>
      <c r="C129" s="434" t="s">
        <v>191</v>
      </c>
      <c r="D129" s="434">
        <v>0.22174999999999997</v>
      </c>
      <c r="E129" s="434">
        <v>5.3249999999999999E-2</v>
      </c>
      <c r="F129" s="434">
        <v>4.0999999999999995E-2</v>
      </c>
      <c r="G129" s="434">
        <v>0.2515</v>
      </c>
      <c r="H129" s="434">
        <v>0.17599999999999999</v>
      </c>
      <c r="I129" s="444" t="e">
        <f>NA()</f>
        <v>#N/A</v>
      </c>
      <c r="W129" s="434"/>
    </row>
    <row r="130" spans="1:23" s="443" customFormat="1" x14ac:dyDescent="0.25">
      <c r="A130" s="434" t="s">
        <v>305</v>
      </c>
      <c r="B130" s="434" t="s">
        <v>185</v>
      </c>
      <c r="C130" s="434" t="s">
        <v>191</v>
      </c>
      <c r="D130" s="434">
        <v>0.22174999999999997</v>
      </c>
      <c r="E130" s="434">
        <v>5.3249999999999999E-2</v>
      </c>
      <c r="F130" s="434">
        <v>3.2500000000000001E-2</v>
      </c>
      <c r="G130" s="434">
        <v>0.23475000000000001</v>
      </c>
      <c r="H130" s="434">
        <v>0.188</v>
      </c>
      <c r="I130" s="444" t="e">
        <f>NA()</f>
        <v>#N/A</v>
      </c>
      <c r="W130" s="434"/>
    </row>
    <row r="131" spans="1:23" s="443" customFormat="1" x14ac:dyDescent="0.25">
      <c r="A131" s="434" t="s">
        <v>306</v>
      </c>
      <c r="B131" s="434" t="s">
        <v>185</v>
      </c>
      <c r="C131" s="434" t="s">
        <v>191</v>
      </c>
      <c r="D131" s="434">
        <v>0.16350000000000001</v>
      </c>
      <c r="E131" s="434">
        <v>5.3249999999999999E-2</v>
      </c>
      <c r="F131" s="434">
        <v>2.1749999999999999E-2</v>
      </c>
      <c r="G131" s="434">
        <v>0.23475000000000001</v>
      </c>
      <c r="H131" s="434">
        <v>0.43825000000000003</v>
      </c>
      <c r="I131" s="444" t="e">
        <f>NA()</f>
        <v>#N/A</v>
      </c>
      <c r="W131" s="434"/>
    </row>
    <row r="132" spans="1:23" s="443" customFormat="1" x14ac:dyDescent="0.25">
      <c r="A132" s="434" t="s">
        <v>307</v>
      </c>
      <c r="B132" s="434" t="s">
        <v>185</v>
      </c>
      <c r="C132" s="434" t="s">
        <v>191</v>
      </c>
      <c r="D132" s="434">
        <v>0.16350000000000001</v>
      </c>
      <c r="E132" s="434">
        <v>5.3249999999999999E-2</v>
      </c>
      <c r="F132" s="434">
        <v>2.1749999999999999E-2</v>
      </c>
      <c r="G132" s="434">
        <v>0.23475000000000001</v>
      </c>
      <c r="H132" s="434">
        <v>0.39249999999999996</v>
      </c>
      <c r="I132" s="444" t="e">
        <f>NA()</f>
        <v>#N/A</v>
      </c>
      <c r="W132" s="434"/>
    </row>
    <row r="133" spans="1:23" s="443" customFormat="1" x14ac:dyDescent="0.25">
      <c r="A133" s="434" t="s">
        <v>308</v>
      </c>
      <c r="B133" s="434" t="s">
        <v>185</v>
      </c>
      <c r="C133" s="434" t="s">
        <v>191</v>
      </c>
      <c r="D133" s="434">
        <v>0.16350000000000001</v>
      </c>
      <c r="E133" s="434">
        <v>5.3249999999999999E-2</v>
      </c>
      <c r="F133" s="434">
        <v>1.4999999999999999E-2</v>
      </c>
      <c r="G133" s="434">
        <v>0.23475000000000001</v>
      </c>
      <c r="H133" s="434">
        <v>0.43600000000000005</v>
      </c>
      <c r="I133" s="444" t="e">
        <f>NA()</f>
        <v>#N/A</v>
      </c>
      <c r="W133" s="434"/>
    </row>
    <row r="134" spans="1:23" s="443" customFormat="1" x14ac:dyDescent="0.25">
      <c r="A134" s="434" t="s">
        <v>309</v>
      </c>
      <c r="B134" s="434" t="s">
        <v>185</v>
      </c>
      <c r="C134" s="434" t="s">
        <v>191</v>
      </c>
      <c r="D134" s="434">
        <v>0.16350000000000001</v>
      </c>
      <c r="E134" s="434">
        <v>5.3249999999999999E-2</v>
      </c>
      <c r="F134" s="434">
        <v>1.4999999999999999E-2</v>
      </c>
      <c r="G134" s="434">
        <v>0.23475000000000001</v>
      </c>
      <c r="H134" s="434">
        <v>0.34300000000000003</v>
      </c>
      <c r="I134" s="444" t="e">
        <f>NA()</f>
        <v>#N/A</v>
      </c>
      <c r="W134" s="434"/>
    </row>
    <row r="135" spans="1:23" s="443" customFormat="1" x14ac:dyDescent="0.25">
      <c r="A135" s="434" t="s">
        <v>310</v>
      </c>
      <c r="B135" s="434" t="s">
        <v>185</v>
      </c>
      <c r="C135" s="434" t="s">
        <v>191</v>
      </c>
      <c r="D135" s="434">
        <v>0.16350000000000001</v>
      </c>
      <c r="E135" s="434">
        <v>5.3249999999999999E-2</v>
      </c>
      <c r="F135" s="434">
        <v>2.1749999999999999E-2</v>
      </c>
      <c r="G135" s="434">
        <v>0.23475000000000001</v>
      </c>
      <c r="H135" s="434">
        <v>0.31724999999999998</v>
      </c>
      <c r="I135" s="444" t="e">
        <f>NA()</f>
        <v>#N/A</v>
      </c>
      <c r="W135" s="434"/>
    </row>
    <row r="136" spans="1:23" s="443" customFormat="1" x14ac:dyDescent="0.25">
      <c r="A136" s="434" t="s">
        <v>311</v>
      </c>
      <c r="B136" s="434" t="s">
        <v>185</v>
      </c>
      <c r="C136" s="434" t="s">
        <v>191</v>
      </c>
      <c r="D136" s="434">
        <v>0.16350000000000001</v>
      </c>
      <c r="E136" s="434">
        <v>5.3249999999999999E-2</v>
      </c>
      <c r="F136" s="434">
        <v>1.4999999999999999E-2</v>
      </c>
      <c r="G136" s="434">
        <v>0.23475000000000001</v>
      </c>
      <c r="H136" s="434">
        <v>0.45525000000000004</v>
      </c>
      <c r="I136" s="444" t="e">
        <f>NA()</f>
        <v>#N/A</v>
      </c>
      <c r="W136" s="434"/>
    </row>
    <row r="137" spans="1:23" s="443" customFormat="1" x14ac:dyDescent="0.25">
      <c r="A137" s="434" t="s">
        <v>312</v>
      </c>
      <c r="B137" s="434" t="s">
        <v>185</v>
      </c>
      <c r="C137" s="434" t="s">
        <v>191</v>
      </c>
      <c r="D137" s="434">
        <v>0.16350000000000001</v>
      </c>
      <c r="E137" s="434">
        <v>5.3249999999999999E-2</v>
      </c>
      <c r="F137" s="434">
        <v>1.4999999999999999E-2</v>
      </c>
      <c r="G137" s="434">
        <v>0.23475000000000001</v>
      </c>
      <c r="H137" s="434">
        <v>0.36524999999999996</v>
      </c>
      <c r="I137" s="444" t="e">
        <f>NA()</f>
        <v>#N/A</v>
      </c>
      <c r="W137" s="434"/>
    </row>
    <row r="138" spans="1:23" s="443" customFormat="1" x14ac:dyDescent="0.25">
      <c r="A138" s="434" t="s">
        <v>313</v>
      </c>
      <c r="B138" s="434" t="s">
        <v>185</v>
      </c>
      <c r="C138" s="434" t="s">
        <v>191</v>
      </c>
      <c r="D138" s="434">
        <v>0.16350000000000001</v>
      </c>
      <c r="E138" s="434">
        <v>5.3249999999999999E-2</v>
      </c>
      <c r="F138" s="434">
        <v>2.7500000000000004E-2</v>
      </c>
      <c r="G138" s="434">
        <v>0.23475000000000001</v>
      </c>
      <c r="H138" s="434">
        <v>0.32900000000000001</v>
      </c>
      <c r="I138" s="444" t="e">
        <f>NA()</f>
        <v>#N/A</v>
      </c>
      <c r="W138" s="434"/>
    </row>
    <row r="139" spans="1:23" s="443" customFormat="1" x14ac:dyDescent="0.25">
      <c r="A139" s="434" t="s">
        <v>314</v>
      </c>
      <c r="B139" s="434" t="s">
        <v>185</v>
      </c>
      <c r="C139" s="434" t="s">
        <v>191</v>
      </c>
      <c r="D139" s="434">
        <v>0.16350000000000001</v>
      </c>
      <c r="E139" s="434">
        <v>5.3249999999999999E-2</v>
      </c>
      <c r="F139" s="434">
        <v>2.1749999999999999E-2</v>
      </c>
      <c r="G139" s="434">
        <v>0.23475000000000001</v>
      </c>
      <c r="H139" s="434">
        <v>0.33599999999999997</v>
      </c>
      <c r="I139" s="444" t="e">
        <f>NA()</f>
        <v>#N/A</v>
      </c>
      <c r="W139" s="434"/>
    </row>
    <row r="140" spans="1:23" s="443" customFormat="1" x14ac:dyDescent="0.25">
      <c r="A140" s="434" t="s">
        <v>315</v>
      </c>
      <c r="B140" s="434" t="s">
        <v>185</v>
      </c>
      <c r="C140" s="434" t="s">
        <v>191</v>
      </c>
      <c r="D140" s="434">
        <v>0.16350000000000001</v>
      </c>
      <c r="E140" s="434">
        <v>5.3249999999999999E-2</v>
      </c>
      <c r="F140" s="434">
        <v>1.4999999999999999E-2</v>
      </c>
      <c r="G140" s="434">
        <v>0.23475000000000001</v>
      </c>
      <c r="H140" s="434">
        <v>0.36299999999999999</v>
      </c>
      <c r="I140" s="444" t="e">
        <f>NA()</f>
        <v>#N/A</v>
      </c>
      <c r="W140" s="434"/>
    </row>
    <row r="141" spans="1:23" s="443" customFormat="1" x14ac:dyDescent="0.25">
      <c r="A141" s="434" t="s">
        <v>316</v>
      </c>
      <c r="B141" s="434" t="s">
        <v>185</v>
      </c>
      <c r="C141" s="434" t="s">
        <v>191</v>
      </c>
      <c r="D141" s="434">
        <v>0.16350000000000001</v>
      </c>
      <c r="E141" s="434">
        <v>5.3249999999999999E-2</v>
      </c>
      <c r="F141" s="434">
        <v>1.4999999999999999E-2</v>
      </c>
      <c r="G141" s="434">
        <v>0.23475000000000001</v>
      </c>
      <c r="H141" s="434">
        <v>0.35125000000000001</v>
      </c>
      <c r="I141" s="444" t="e">
        <f>NA()</f>
        <v>#N/A</v>
      </c>
      <c r="W141" s="434"/>
    </row>
    <row r="142" spans="1:23" s="443" customFormat="1" x14ac:dyDescent="0.25">
      <c r="A142" s="434" t="s">
        <v>317</v>
      </c>
      <c r="B142" s="434" t="s">
        <v>185</v>
      </c>
      <c r="C142" s="434" t="s">
        <v>191</v>
      </c>
      <c r="D142" s="434">
        <v>0.16350000000000001</v>
      </c>
      <c r="E142" s="434">
        <v>5.3249999999999999E-2</v>
      </c>
      <c r="F142" s="434">
        <v>1.4999999999999999E-2</v>
      </c>
      <c r="G142" s="434">
        <v>0.23475000000000001</v>
      </c>
      <c r="H142" s="434">
        <v>0.35275000000000001</v>
      </c>
      <c r="I142" s="444" t="e">
        <f>NA()</f>
        <v>#N/A</v>
      </c>
      <c r="W142" s="434"/>
    </row>
    <row r="143" spans="1:23" s="443" customFormat="1" x14ac:dyDescent="0.25">
      <c r="A143" s="434" t="s">
        <v>318</v>
      </c>
      <c r="B143" s="434" t="s">
        <v>185</v>
      </c>
      <c r="C143" s="434" t="s">
        <v>191</v>
      </c>
      <c r="D143" s="434">
        <v>0.16350000000000001</v>
      </c>
      <c r="E143" s="434">
        <v>5.3249999999999999E-2</v>
      </c>
      <c r="F143" s="434">
        <v>1.4999999999999999E-2</v>
      </c>
      <c r="G143" s="434">
        <v>0.23475000000000001</v>
      </c>
      <c r="H143" s="434">
        <v>0.36075000000000002</v>
      </c>
      <c r="I143" s="444" t="e">
        <f>NA()</f>
        <v>#N/A</v>
      </c>
      <c r="W143" s="434"/>
    </row>
    <row r="144" spans="1:23" s="443" customFormat="1" x14ac:dyDescent="0.25">
      <c r="A144" s="434" t="s">
        <v>319</v>
      </c>
      <c r="B144" s="434" t="s">
        <v>185</v>
      </c>
      <c r="C144" s="434" t="s">
        <v>191</v>
      </c>
      <c r="D144" s="434">
        <v>0.16340852130325814</v>
      </c>
      <c r="E144" s="434">
        <v>5.338345864661654E-2</v>
      </c>
      <c r="F144" s="434">
        <v>2.180451127819549E-2</v>
      </c>
      <c r="G144" s="434">
        <v>0.23483709273182957</v>
      </c>
      <c r="H144" s="434">
        <v>0.31428571428571428</v>
      </c>
      <c r="I144" s="444" t="e">
        <f>NA()</f>
        <v>#N/A</v>
      </c>
      <c r="W144" s="434"/>
    </row>
    <row r="145" spans="1:23" s="443" customFormat="1" x14ac:dyDescent="0.25">
      <c r="A145" s="434" t="s">
        <v>320</v>
      </c>
      <c r="B145" s="434" t="s">
        <v>185</v>
      </c>
      <c r="C145" s="434" t="s">
        <v>191</v>
      </c>
      <c r="D145" s="434">
        <v>0.16350000000000001</v>
      </c>
      <c r="E145" s="434">
        <v>5.3249999999999999E-2</v>
      </c>
      <c r="F145" s="434">
        <v>2.1749999999999999E-2</v>
      </c>
      <c r="G145" s="434">
        <v>0.23475000000000001</v>
      </c>
      <c r="H145" s="434">
        <v>0.32550000000000001</v>
      </c>
      <c r="I145" s="444" t="e">
        <f>NA()</f>
        <v>#N/A</v>
      </c>
      <c r="W145" s="434"/>
    </row>
    <row r="146" spans="1:23" s="443" customFormat="1" x14ac:dyDescent="0.25">
      <c r="A146" s="434" t="s">
        <v>321</v>
      </c>
      <c r="B146" s="434" t="s">
        <v>185</v>
      </c>
      <c r="C146" s="434" t="s">
        <v>191</v>
      </c>
      <c r="D146" s="434">
        <v>0.16350000000000001</v>
      </c>
      <c r="E146" s="434">
        <v>5.3249999999999999E-2</v>
      </c>
      <c r="F146" s="434">
        <v>1.4999999999999999E-2</v>
      </c>
      <c r="G146" s="434">
        <v>0.23475000000000001</v>
      </c>
      <c r="H146" s="434">
        <v>0.50600000000000001</v>
      </c>
      <c r="I146" s="444" t="e">
        <f>NA()</f>
        <v>#N/A</v>
      </c>
      <c r="W146" s="434"/>
    </row>
    <row r="147" spans="1:23" s="443" customFormat="1" x14ac:dyDescent="0.25">
      <c r="A147" s="434" t="s">
        <v>322</v>
      </c>
      <c r="B147" s="434" t="s">
        <v>185</v>
      </c>
      <c r="C147" s="434" t="s">
        <v>191</v>
      </c>
      <c r="D147" s="434">
        <v>0.16347607052896726</v>
      </c>
      <c r="E147" s="434">
        <v>5.3400503778337528E-2</v>
      </c>
      <c r="F147" s="434">
        <v>2.7455919395465996E-2</v>
      </c>
      <c r="G147" s="434">
        <v>0.23476070528967252</v>
      </c>
      <c r="H147" s="434">
        <v>0.37934508816120904</v>
      </c>
      <c r="I147" s="444" t="e">
        <f>NA()</f>
        <v>#N/A</v>
      </c>
      <c r="W147" s="434"/>
    </row>
    <row r="148" spans="1:23" s="443" customFormat="1" x14ac:dyDescent="0.25">
      <c r="A148" s="434" t="s">
        <v>323</v>
      </c>
      <c r="B148" s="434" t="s">
        <v>185</v>
      </c>
      <c r="C148" s="434" t="s">
        <v>191</v>
      </c>
      <c r="D148" s="434">
        <v>0.16350000000000001</v>
      </c>
      <c r="E148" s="434">
        <v>5.3249999999999999E-2</v>
      </c>
      <c r="F148" s="434">
        <v>2.7500000000000004E-2</v>
      </c>
      <c r="G148" s="434">
        <v>0.23475000000000001</v>
      </c>
      <c r="H148" s="434">
        <v>0.36049999999999999</v>
      </c>
      <c r="I148" s="444" t="e">
        <f>NA()</f>
        <v>#N/A</v>
      </c>
      <c r="W148" s="434"/>
    </row>
    <row r="149" spans="1:23" s="443" customFormat="1" x14ac:dyDescent="0.25">
      <c r="A149" s="434" t="s">
        <v>324</v>
      </c>
      <c r="B149" s="434" t="s">
        <v>185</v>
      </c>
      <c r="C149" s="434" t="s">
        <v>191</v>
      </c>
      <c r="D149" s="434">
        <v>0.16350000000000001</v>
      </c>
      <c r="E149" s="434">
        <v>5.3249999999999999E-2</v>
      </c>
      <c r="F149" s="434">
        <v>3.2500000000000001E-2</v>
      </c>
      <c r="G149" s="434">
        <v>0.23475000000000001</v>
      </c>
      <c r="H149" s="434">
        <v>0.35199999999999998</v>
      </c>
      <c r="I149" s="444" t="e">
        <f>NA()</f>
        <v>#N/A</v>
      </c>
      <c r="W149" s="434"/>
    </row>
    <row r="150" spans="1:23" s="443" customFormat="1" x14ac:dyDescent="0.25">
      <c r="A150" s="434" t="s">
        <v>325</v>
      </c>
      <c r="B150" s="434" t="s">
        <v>185</v>
      </c>
      <c r="C150" s="434" t="s">
        <v>191</v>
      </c>
      <c r="D150" s="434">
        <v>0.16350000000000001</v>
      </c>
      <c r="E150" s="434">
        <v>5.3249999999999999E-2</v>
      </c>
      <c r="F150" s="434">
        <v>2.1749999999999999E-2</v>
      </c>
      <c r="G150" s="434">
        <v>0.23475000000000001</v>
      </c>
      <c r="H150" s="434">
        <v>0.40125</v>
      </c>
      <c r="I150" s="444" t="e">
        <f>NA()</f>
        <v>#N/A</v>
      </c>
      <c r="W150" s="434"/>
    </row>
    <row r="151" spans="1:23" s="443" customFormat="1" x14ac:dyDescent="0.25">
      <c r="A151" s="434" t="s">
        <v>326</v>
      </c>
      <c r="B151" s="434" t="s">
        <v>185</v>
      </c>
      <c r="C151" s="434" t="s">
        <v>191</v>
      </c>
      <c r="D151" s="434">
        <v>0.16336633663366337</v>
      </c>
      <c r="E151" s="434">
        <v>5.3217821782178217E-2</v>
      </c>
      <c r="F151" s="434">
        <v>1.5099009900990099E-2</v>
      </c>
      <c r="G151" s="434">
        <v>0.23490099009900992</v>
      </c>
      <c r="H151" s="434">
        <v>0.35123762376237622</v>
      </c>
      <c r="I151" s="444" t="e">
        <f>NA()</f>
        <v>#N/A</v>
      </c>
      <c r="W151" s="434"/>
    </row>
    <row r="152" spans="1:23" s="443" customFormat="1" x14ac:dyDescent="0.25">
      <c r="A152" s="434" t="s">
        <v>327</v>
      </c>
      <c r="B152" s="434" t="s">
        <v>185</v>
      </c>
      <c r="C152" s="434" t="s">
        <v>191</v>
      </c>
      <c r="D152" s="434">
        <v>0.16347607052896726</v>
      </c>
      <c r="E152" s="434">
        <v>5.3400503778337528E-2</v>
      </c>
      <c r="F152" s="434">
        <v>1.5113350125944582E-2</v>
      </c>
      <c r="G152" s="434">
        <v>0.23476070528967252</v>
      </c>
      <c r="H152" s="434">
        <v>0.36322418136020146</v>
      </c>
      <c r="I152" s="444" t="e">
        <f>NA()</f>
        <v>#N/A</v>
      </c>
      <c r="W152" s="434"/>
    </row>
    <row r="153" spans="1:23" s="443" customFormat="1" x14ac:dyDescent="0.25">
      <c r="A153" s="434" t="s">
        <v>328</v>
      </c>
      <c r="B153" s="434" t="s">
        <v>185</v>
      </c>
      <c r="C153" s="434" t="s">
        <v>191</v>
      </c>
      <c r="D153" s="434">
        <v>0.16350000000000001</v>
      </c>
      <c r="E153" s="434">
        <v>5.3249999999999999E-2</v>
      </c>
      <c r="F153" s="434">
        <v>1.4999999999999999E-2</v>
      </c>
      <c r="G153" s="434">
        <v>0.23475000000000001</v>
      </c>
      <c r="H153" s="434">
        <v>0.35525000000000001</v>
      </c>
      <c r="I153" s="444" t="e">
        <f>NA()</f>
        <v>#N/A</v>
      </c>
      <c r="W153" s="434"/>
    </row>
    <row r="154" spans="1:23" s="443" customFormat="1" x14ac:dyDescent="0.25">
      <c r="A154" s="434" t="s">
        <v>329</v>
      </c>
      <c r="B154" s="434" t="s">
        <v>185</v>
      </c>
      <c r="C154" s="434" t="s">
        <v>191</v>
      </c>
      <c r="D154" s="434">
        <v>0.16350000000000001</v>
      </c>
      <c r="E154" s="434">
        <v>5.3249999999999999E-2</v>
      </c>
      <c r="F154" s="434">
        <v>1.4999999999999999E-2</v>
      </c>
      <c r="G154" s="434">
        <v>0.23475000000000001</v>
      </c>
      <c r="H154" s="434">
        <v>0.36124999999999996</v>
      </c>
      <c r="I154" s="444" t="e">
        <f>NA()</f>
        <v>#N/A</v>
      </c>
      <c r="W154" s="434"/>
    </row>
    <row r="155" spans="1:23" s="443" customFormat="1" x14ac:dyDescent="0.25">
      <c r="A155" s="434" t="s">
        <v>330</v>
      </c>
      <c r="B155" s="434" t="s">
        <v>185</v>
      </c>
      <c r="C155" s="434" t="s">
        <v>191</v>
      </c>
      <c r="D155" s="434">
        <v>0.16350000000000001</v>
      </c>
      <c r="E155" s="434">
        <v>5.3249999999999999E-2</v>
      </c>
      <c r="F155" s="434">
        <v>1.4999999999999999E-2</v>
      </c>
      <c r="G155" s="434">
        <v>0.23475000000000001</v>
      </c>
      <c r="H155" s="434">
        <v>0.36675000000000002</v>
      </c>
      <c r="I155" s="444" t="e">
        <f>NA()</f>
        <v>#N/A</v>
      </c>
      <c r="W155" s="434"/>
    </row>
    <row r="156" spans="1:23" s="443" customFormat="1" x14ac:dyDescent="0.25">
      <c r="A156" s="434" t="s">
        <v>331</v>
      </c>
      <c r="B156" s="434" t="s">
        <v>185</v>
      </c>
      <c r="C156" s="434" t="s">
        <v>191</v>
      </c>
      <c r="D156" s="434">
        <v>0.16350000000000001</v>
      </c>
      <c r="E156" s="434">
        <v>5.3249999999999999E-2</v>
      </c>
      <c r="F156" s="434">
        <v>1.4999999999999999E-2</v>
      </c>
      <c r="G156" s="434">
        <v>0.23475000000000001</v>
      </c>
      <c r="H156" s="434">
        <v>0.36625000000000002</v>
      </c>
      <c r="I156" s="444" t="e">
        <f>NA()</f>
        <v>#N/A</v>
      </c>
      <c r="W156" s="434"/>
    </row>
    <row r="157" spans="1:23" s="443" customFormat="1" x14ac:dyDescent="0.25">
      <c r="A157" s="434" t="s">
        <v>332</v>
      </c>
      <c r="B157" s="434" t="s">
        <v>185</v>
      </c>
      <c r="C157" s="434" t="s">
        <v>191</v>
      </c>
      <c r="D157" s="434">
        <v>0.16350000000000001</v>
      </c>
      <c r="E157" s="434">
        <v>5.3249999999999999E-2</v>
      </c>
      <c r="F157" s="434">
        <v>1.4999999999999999E-2</v>
      </c>
      <c r="G157" s="434">
        <v>0.23475000000000001</v>
      </c>
      <c r="H157" s="434">
        <v>0.34900000000000003</v>
      </c>
      <c r="I157" s="444" t="e">
        <f>NA()</f>
        <v>#N/A</v>
      </c>
      <c r="W157" s="434"/>
    </row>
    <row r="158" spans="1:23" s="443" customFormat="1" x14ac:dyDescent="0.25">
      <c r="A158" s="434" t="s">
        <v>333</v>
      </c>
      <c r="B158" s="434" t="s">
        <v>185</v>
      </c>
      <c r="C158" s="434" t="s">
        <v>191</v>
      </c>
      <c r="D158" s="434">
        <v>0.16337349397590362</v>
      </c>
      <c r="E158" s="434">
        <v>5.3253012048192772E-2</v>
      </c>
      <c r="F158" s="434">
        <v>2.1927710843373496E-2</v>
      </c>
      <c r="G158" s="434">
        <v>0.2346987951807229</v>
      </c>
      <c r="H158" s="434">
        <v>0.29951807228915661</v>
      </c>
      <c r="I158" s="444" t="e">
        <f>NA()</f>
        <v>#N/A</v>
      </c>
      <c r="W158" s="434"/>
    </row>
    <row r="159" spans="1:23" s="443" customFormat="1" x14ac:dyDescent="0.25">
      <c r="A159" s="434" t="s">
        <v>334</v>
      </c>
      <c r="B159" s="434" t="s">
        <v>185</v>
      </c>
      <c r="C159" s="434" t="s">
        <v>191</v>
      </c>
      <c r="D159" s="434">
        <v>0.16348837209302325</v>
      </c>
      <c r="E159" s="434">
        <v>5.3255813953488371E-2</v>
      </c>
      <c r="F159" s="434">
        <v>1.5116279069767442E-2</v>
      </c>
      <c r="G159" s="434">
        <v>0.23488372093023255</v>
      </c>
      <c r="H159" s="434">
        <v>0.34093023255813953</v>
      </c>
      <c r="I159" s="444" t="e">
        <f>NA()</f>
        <v>#N/A</v>
      </c>
      <c r="W159" s="434"/>
    </row>
    <row r="160" spans="1:23" s="443" customFormat="1" x14ac:dyDescent="0.25">
      <c r="A160" s="434" t="s">
        <v>335</v>
      </c>
      <c r="B160" s="434" t="s">
        <v>122</v>
      </c>
      <c r="C160" s="434" t="s">
        <v>191</v>
      </c>
      <c r="D160" s="434">
        <v>0</v>
      </c>
      <c r="E160" s="434">
        <v>0</v>
      </c>
      <c r="F160" s="434">
        <v>4.0288924558587479E-2</v>
      </c>
      <c r="G160" s="434">
        <v>0.17576243980738362</v>
      </c>
      <c r="H160" s="434">
        <v>0</v>
      </c>
      <c r="I160" s="444" t="e">
        <f>NA()</f>
        <v>#N/A</v>
      </c>
      <c r="W160" s="434"/>
    </row>
    <row r="161" spans="1:23" s="443" customFormat="1" x14ac:dyDescent="0.25">
      <c r="A161" s="434" t="s">
        <v>336</v>
      </c>
      <c r="B161" s="434" t="s">
        <v>175</v>
      </c>
      <c r="C161" s="434" t="s">
        <v>191</v>
      </c>
      <c r="D161" s="434">
        <v>0</v>
      </c>
      <c r="E161" s="434">
        <v>0.12155054644808744</v>
      </c>
      <c r="F161" s="434">
        <v>0.25928961748633877</v>
      </c>
      <c r="G161" s="434">
        <v>0.52223360655737705</v>
      </c>
      <c r="H161" s="434">
        <v>1.9125683060109292E-3</v>
      </c>
      <c r="I161" s="444" t="e">
        <f>NA()</f>
        <v>#N/A</v>
      </c>
      <c r="W161" s="434"/>
    </row>
    <row r="162" spans="1:23" s="443" customFormat="1" x14ac:dyDescent="0.25">
      <c r="A162" s="445" t="s">
        <v>197</v>
      </c>
      <c r="B162" s="446" t="s">
        <v>130</v>
      </c>
      <c r="C162" s="446" t="s">
        <v>192</v>
      </c>
      <c r="D162" s="446">
        <v>0</v>
      </c>
      <c r="E162" s="446">
        <v>0.19033225633026074</v>
      </c>
      <c r="F162" s="446">
        <v>0.35454052821130411</v>
      </c>
      <c r="G162" s="446">
        <v>0.57333467575831509</v>
      </c>
      <c r="H162" s="446">
        <v>9.4567061509029618E-6</v>
      </c>
      <c r="I162" s="447">
        <v>1.5475000000000001</v>
      </c>
      <c r="J162" s="622" t="s">
        <v>527</v>
      </c>
      <c r="K162" s="623"/>
      <c r="L162" s="623"/>
      <c r="M162" s="623"/>
      <c r="N162" s="623"/>
      <c r="O162" s="623"/>
      <c r="P162" s="623"/>
      <c r="Q162" s="623"/>
      <c r="W162" s="434"/>
    </row>
    <row r="163" spans="1:23" s="443" customFormat="1" x14ac:dyDescent="0.25">
      <c r="A163" s="445" t="s">
        <v>198</v>
      </c>
      <c r="B163" s="446" t="s">
        <v>137</v>
      </c>
      <c r="C163" s="446" t="s">
        <v>192</v>
      </c>
      <c r="D163" s="446">
        <v>0</v>
      </c>
      <c r="E163" s="446">
        <v>0.12347058897115903</v>
      </c>
      <c r="F163" s="446">
        <v>0.2025884171362396</v>
      </c>
      <c r="G163" s="446">
        <v>0.44935234977468863</v>
      </c>
      <c r="H163" s="446">
        <v>1.5356545440389265E-6</v>
      </c>
      <c r="I163" s="447">
        <v>0.98</v>
      </c>
      <c r="J163" s="623"/>
      <c r="K163" s="623"/>
      <c r="L163" s="623"/>
      <c r="M163" s="623"/>
      <c r="N163" s="623"/>
      <c r="O163" s="623"/>
      <c r="P163" s="623"/>
      <c r="Q163" s="623"/>
      <c r="W163" s="434"/>
    </row>
    <row r="164" spans="1:23" s="443" customFormat="1" x14ac:dyDescent="0.25">
      <c r="A164" s="445" t="s">
        <v>199</v>
      </c>
      <c r="B164" s="446" t="s">
        <v>137</v>
      </c>
      <c r="C164" s="446" t="s">
        <v>192</v>
      </c>
      <c r="D164" s="446">
        <v>0</v>
      </c>
      <c r="E164" s="446">
        <v>0.25341933135083711</v>
      </c>
      <c r="F164" s="446">
        <v>0.14004328927645152</v>
      </c>
      <c r="G164" s="446">
        <v>0.4567867178720883</v>
      </c>
      <c r="H164" s="446">
        <v>3.3626279545452663E-5</v>
      </c>
      <c r="I164" s="447">
        <v>0.98</v>
      </c>
      <c r="J164" s="623"/>
      <c r="K164" s="623"/>
      <c r="L164" s="623"/>
      <c r="M164" s="623"/>
      <c r="N164" s="623"/>
      <c r="O164" s="623"/>
      <c r="P164" s="623"/>
      <c r="Q164" s="623"/>
      <c r="W164" s="434"/>
    </row>
    <row r="165" spans="1:23" s="443" customFormat="1" x14ac:dyDescent="0.25">
      <c r="A165" s="445" t="s">
        <v>200</v>
      </c>
      <c r="B165" s="446" t="s">
        <v>137</v>
      </c>
      <c r="C165" s="446" t="s">
        <v>192</v>
      </c>
      <c r="D165" s="446">
        <v>0</v>
      </c>
      <c r="E165" s="446">
        <v>1.7722833977815156E-2</v>
      </c>
      <c r="F165" s="446">
        <v>0.10889699387902668</v>
      </c>
      <c r="G165" s="446">
        <v>0.30535998713602935</v>
      </c>
      <c r="H165" s="446">
        <v>0</v>
      </c>
      <c r="I165" s="447">
        <v>0.98</v>
      </c>
      <c r="J165" s="623"/>
      <c r="K165" s="623"/>
      <c r="L165" s="623"/>
      <c r="M165" s="623"/>
      <c r="N165" s="623"/>
      <c r="O165" s="623"/>
      <c r="P165" s="623"/>
      <c r="Q165" s="623"/>
      <c r="W165" s="434"/>
    </row>
    <row r="166" spans="1:23" s="443" customFormat="1" x14ac:dyDescent="0.25">
      <c r="A166" s="445" t="s">
        <v>201</v>
      </c>
      <c r="B166" s="446" t="s">
        <v>122</v>
      </c>
      <c r="C166" s="446" t="s">
        <v>192</v>
      </c>
      <c r="D166" s="446">
        <v>0</v>
      </c>
      <c r="E166" s="446">
        <v>0</v>
      </c>
      <c r="F166" s="446">
        <v>0</v>
      </c>
      <c r="G166" s="446">
        <v>2.8680771251151288E-2</v>
      </c>
      <c r="H166" s="446">
        <v>0</v>
      </c>
      <c r="I166" s="447">
        <v>0</v>
      </c>
      <c r="J166" s="623"/>
      <c r="K166" s="623"/>
      <c r="L166" s="623"/>
      <c r="M166" s="623"/>
      <c r="N166" s="623"/>
      <c r="O166" s="623"/>
      <c r="P166" s="623"/>
      <c r="Q166" s="623"/>
      <c r="W166" s="434"/>
    </row>
    <row r="167" spans="1:23" s="443" customFormat="1" x14ac:dyDescent="0.25">
      <c r="A167" s="445" t="s">
        <v>203</v>
      </c>
      <c r="B167" s="446" t="s">
        <v>130</v>
      </c>
      <c r="C167" s="446" t="s">
        <v>192</v>
      </c>
      <c r="D167" s="446">
        <v>0</v>
      </c>
      <c r="E167" s="446">
        <v>6.0566669976603663E-2</v>
      </c>
      <c r="F167" s="446">
        <v>9.8272585517079458E-2</v>
      </c>
      <c r="G167" s="446">
        <v>0.41548020754856335</v>
      </c>
      <c r="H167" s="446">
        <v>2.3538079481049279E-5</v>
      </c>
      <c r="I167" s="447">
        <v>1.07</v>
      </c>
      <c r="J167" s="623"/>
      <c r="K167" s="623"/>
      <c r="L167" s="623"/>
      <c r="M167" s="623"/>
      <c r="N167" s="623"/>
      <c r="O167" s="623"/>
      <c r="P167" s="623"/>
      <c r="Q167" s="623"/>
      <c r="W167" s="434"/>
    </row>
    <row r="168" spans="1:23" s="443" customFormat="1" x14ac:dyDescent="0.25">
      <c r="A168" s="445" t="s">
        <v>207</v>
      </c>
      <c r="B168" s="446" t="s">
        <v>137</v>
      </c>
      <c r="C168" s="446" t="s">
        <v>192</v>
      </c>
      <c r="D168" s="446">
        <v>0</v>
      </c>
      <c r="E168" s="446">
        <v>3.1573454916359999E-3</v>
      </c>
      <c r="F168" s="446">
        <v>2.9316816491203233E-2</v>
      </c>
      <c r="G168" s="446">
        <v>0.18867580569849907</v>
      </c>
      <c r="H168" s="446">
        <v>3.9634540783578566E-3</v>
      </c>
      <c r="I168" s="447">
        <v>0.98</v>
      </c>
      <c r="J168" s="623"/>
      <c r="K168" s="623"/>
      <c r="L168" s="623"/>
      <c r="M168" s="623"/>
      <c r="N168" s="623"/>
      <c r="O168" s="623"/>
      <c r="P168" s="623"/>
      <c r="Q168" s="623"/>
      <c r="W168" s="434"/>
    </row>
    <row r="169" spans="1:23" s="443" customFormat="1" x14ac:dyDescent="0.25">
      <c r="A169" s="448" t="s">
        <v>205</v>
      </c>
      <c r="B169" s="446" t="s">
        <v>171</v>
      </c>
      <c r="C169" s="446" t="s">
        <v>192</v>
      </c>
      <c r="D169" s="446">
        <v>0</v>
      </c>
      <c r="E169" s="446">
        <v>0.54710490851898941</v>
      </c>
      <c r="F169" s="446">
        <v>0.23964943052747797</v>
      </c>
      <c r="G169" s="446">
        <v>0.37890942622825408</v>
      </c>
      <c r="H169" s="446">
        <v>7.4933146926309587E-3</v>
      </c>
      <c r="I169" s="447">
        <v>3.9275000000000002</v>
      </c>
      <c r="J169" s="623"/>
      <c r="K169" s="623"/>
      <c r="L169" s="623"/>
      <c r="M169" s="623"/>
      <c r="N169" s="623"/>
      <c r="O169" s="623"/>
      <c r="P169" s="623"/>
      <c r="Q169" s="623"/>
      <c r="W169" s="434"/>
    </row>
    <row r="170" spans="1:23" s="443" customFormat="1" x14ac:dyDescent="0.25">
      <c r="A170" s="448" t="s">
        <v>206</v>
      </c>
      <c r="B170" s="446" t="s">
        <v>171</v>
      </c>
      <c r="C170" s="446" t="s">
        <v>192</v>
      </c>
      <c r="D170" s="446">
        <v>0</v>
      </c>
      <c r="E170" s="446">
        <v>0.54710490851898941</v>
      </c>
      <c r="F170" s="446">
        <v>0.23964943052747797</v>
      </c>
      <c r="G170" s="446">
        <v>0.37890942622825408</v>
      </c>
      <c r="H170" s="446">
        <v>7.4933146926309587E-3</v>
      </c>
      <c r="I170" s="447">
        <v>3.9275000000000002</v>
      </c>
      <c r="J170" s="623"/>
      <c r="K170" s="623"/>
      <c r="L170" s="623"/>
      <c r="M170" s="623"/>
      <c r="N170" s="623"/>
      <c r="O170" s="623"/>
      <c r="P170" s="623"/>
      <c r="Q170" s="623"/>
      <c r="W170" s="434"/>
    </row>
    <row r="171" spans="1:23" s="443" customFormat="1" x14ac:dyDescent="0.25">
      <c r="A171" s="445" t="s">
        <v>211</v>
      </c>
      <c r="B171" s="446" t="s">
        <v>137</v>
      </c>
      <c r="C171" s="446" t="s">
        <v>192</v>
      </c>
      <c r="D171" s="446">
        <v>0</v>
      </c>
      <c r="E171" s="446">
        <v>0.22155016458417978</v>
      </c>
      <c r="F171" s="446">
        <v>0.18368286991931856</v>
      </c>
      <c r="G171" s="446">
        <v>0.57782274168307945</v>
      </c>
      <c r="H171" s="446">
        <v>0</v>
      </c>
      <c r="I171" s="447">
        <v>0.98</v>
      </c>
      <c r="J171" s="623"/>
      <c r="K171" s="623"/>
      <c r="L171" s="623"/>
      <c r="M171" s="623"/>
      <c r="N171" s="623"/>
      <c r="O171" s="623"/>
      <c r="P171" s="623"/>
      <c r="Q171" s="623"/>
      <c r="W171" s="434"/>
    </row>
    <row r="172" spans="1:23" s="443" customFormat="1" x14ac:dyDescent="0.25">
      <c r="A172" s="445" t="s">
        <v>212</v>
      </c>
      <c r="B172" s="446" t="s">
        <v>143</v>
      </c>
      <c r="C172" s="446" t="s">
        <v>192</v>
      </c>
      <c r="D172" s="446">
        <v>0</v>
      </c>
      <c r="E172" s="446">
        <v>0.52499029068965686</v>
      </c>
      <c r="F172" s="446">
        <v>0.24903484866613099</v>
      </c>
      <c r="G172" s="446">
        <v>0.54357983562975276</v>
      </c>
      <c r="H172" s="446">
        <v>1.409108259904528E-4</v>
      </c>
      <c r="I172" s="447">
        <v>4.0674999999999999</v>
      </c>
      <c r="J172" s="623"/>
      <c r="K172" s="623"/>
      <c r="L172" s="623"/>
      <c r="M172" s="623"/>
      <c r="N172" s="623"/>
      <c r="O172" s="623"/>
      <c r="P172" s="623"/>
      <c r="Q172" s="623"/>
      <c r="W172" s="434"/>
    </row>
    <row r="173" spans="1:23" s="443" customFormat="1" x14ac:dyDescent="0.25">
      <c r="A173" s="445" t="s">
        <v>213</v>
      </c>
      <c r="B173" s="446" t="s">
        <v>143</v>
      </c>
      <c r="C173" s="446" t="s">
        <v>192</v>
      </c>
      <c r="D173" s="446">
        <v>0</v>
      </c>
      <c r="E173" s="446">
        <v>0.48845245147561922</v>
      </c>
      <c r="F173" s="446">
        <v>0.22657278487890622</v>
      </c>
      <c r="G173" s="446">
        <v>0.40288395656034637</v>
      </c>
      <c r="H173" s="446">
        <v>4.4054213439547244E-4</v>
      </c>
      <c r="I173" s="447">
        <v>4.0674999999999999</v>
      </c>
      <c r="J173" s="623"/>
      <c r="K173" s="623"/>
      <c r="L173" s="623"/>
      <c r="M173" s="623"/>
      <c r="N173" s="623"/>
      <c r="O173" s="623"/>
      <c r="P173" s="623"/>
      <c r="Q173" s="623"/>
      <c r="W173" s="434"/>
    </row>
    <row r="174" spans="1:23" s="443" customFormat="1" x14ac:dyDescent="0.25">
      <c r="A174" s="445" t="s">
        <v>214</v>
      </c>
      <c r="B174" s="446" t="s">
        <v>137</v>
      </c>
      <c r="C174" s="446" t="s">
        <v>192</v>
      </c>
      <c r="D174" s="446">
        <v>0</v>
      </c>
      <c r="E174" s="446">
        <v>0.26633628008801086</v>
      </c>
      <c r="F174" s="446">
        <v>8.9231120421135193E-2</v>
      </c>
      <c r="G174" s="446">
        <v>0.46826037249771979</v>
      </c>
      <c r="H174" s="446">
        <v>0</v>
      </c>
      <c r="I174" s="447">
        <v>0.98</v>
      </c>
      <c r="J174" s="623"/>
      <c r="K174" s="623"/>
      <c r="L174" s="623"/>
      <c r="M174" s="623"/>
      <c r="N174" s="623"/>
      <c r="O174" s="623"/>
      <c r="P174" s="623"/>
      <c r="Q174" s="623"/>
      <c r="W174" s="434"/>
    </row>
    <row r="175" spans="1:23" s="443" customFormat="1" x14ac:dyDescent="0.25">
      <c r="A175" s="445" t="s">
        <v>225</v>
      </c>
      <c r="B175" s="446" t="s">
        <v>137</v>
      </c>
      <c r="C175" s="446" t="s">
        <v>192</v>
      </c>
      <c r="D175" s="446">
        <v>0</v>
      </c>
      <c r="E175" s="446">
        <v>1.8261496261947712E-2</v>
      </c>
      <c r="F175" s="446">
        <v>1.2996668250339252E-2</v>
      </c>
      <c r="G175" s="446">
        <v>0.19203230929588916</v>
      </c>
      <c r="H175" s="446">
        <v>0</v>
      </c>
      <c r="I175" s="447">
        <v>0.98</v>
      </c>
      <c r="J175" s="623"/>
      <c r="K175" s="623"/>
      <c r="L175" s="623"/>
      <c r="M175" s="623"/>
      <c r="N175" s="623"/>
      <c r="O175" s="623"/>
      <c r="P175" s="623"/>
      <c r="Q175" s="623"/>
      <c r="W175" s="434"/>
    </row>
    <row r="176" spans="1:23" s="443" customFormat="1" x14ac:dyDescent="0.25">
      <c r="A176" s="445" t="s">
        <v>228</v>
      </c>
      <c r="B176" s="446" t="s">
        <v>175</v>
      </c>
      <c r="C176" s="446" t="s">
        <v>192</v>
      </c>
      <c r="D176" s="446">
        <v>0</v>
      </c>
      <c r="E176" s="446">
        <v>3.0433949782714437E-2</v>
      </c>
      <c r="F176" s="446">
        <v>0.13871622754137103</v>
      </c>
      <c r="G176" s="446">
        <v>0.28501382430717948</v>
      </c>
      <c r="H176" s="446">
        <v>0</v>
      </c>
      <c r="I176" s="447">
        <v>4.3599999999999994</v>
      </c>
      <c r="J176" s="623"/>
      <c r="K176" s="623"/>
      <c r="L176" s="623"/>
      <c r="M176" s="623"/>
      <c r="N176" s="623"/>
      <c r="O176" s="623"/>
      <c r="P176" s="623"/>
      <c r="Q176" s="623"/>
      <c r="W176" s="434"/>
    </row>
    <row r="177" spans="1:23" s="443" customFormat="1" x14ac:dyDescent="0.25">
      <c r="A177" s="445" t="s">
        <v>237</v>
      </c>
      <c r="B177" s="446" t="s">
        <v>137</v>
      </c>
      <c r="C177" s="446" t="s">
        <v>192</v>
      </c>
      <c r="D177" s="446">
        <v>0</v>
      </c>
      <c r="E177" s="446">
        <v>1.0657107134339599E-2</v>
      </c>
      <c r="F177" s="446">
        <v>0</v>
      </c>
      <c r="G177" s="446">
        <v>0.16245438644773319</v>
      </c>
      <c r="H177" s="446">
        <v>0</v>
      </c>
      <c r="I177" s="447">
        <v>0.98</v>
      </c>
      <c r="K177" s="434"/>
      <c r="L177" s="446"/>
      <c r="M177" s="446"/>
      <c r="W177" s="434"/>
    </row>
    <row r="178" spans="1:23" s="443" customFormat="1" x14ac:dyDescent="0.25">
      <c r="A178" s="445" t="s">
        <v>239</v>
      </c>
      <c r="B178" s="446" t="s">
        <v>171</v>
      </c>
      <c r="C178" s="446" t="s">
        <v>192</v>
      </c>
      <c r="D178" s="446">
        <v>0</v>
      </c>
      <c r="E178" s="446">
        <v>0.26892754502233107</v>
      </c>
      <c r="F178" s="446">
        <v>0.43623361162404933</v>
      </c>
      <c r="G178" s="446">
        <v>0.60190152645020767</v>
      </c>
      <c r="H178" s="446">
        <v>4.6115395729183652E-4</v>
      </c>
      <c r="I178" s="447">
        <v>3.9275000000000002</v>
      </c>
      <c r="K178" s="434"/>
      <c r="L178" s="446"/>
      <c r="M178" s="446"/>
      <c r="W178" s="434"/>
    </row>
    <row r="179" spans="1:23" s="443" customFormat="1" x14ac:dyDescent="0.25">
      <c r="A179" s="445" t="s">
        <v>240</v>
      </c>
      <c r="B179" s="446" t="s">
        <v>171</v>
      </c>
      <c r="C179" s="446" t="s">
        <v>192</v>
      </c>
      <c r="D179" s="446">
        <v>0</v>
      </c>
      <c r="E179" s="446">
        <v>0.30608533229200491</v>
      </c>
      <c r="F179" s="446">
        <v>0.41117301236614612</v>
      </c>
      <c r="G179" s="446">
        <v>0.54295054684716015</v>
      </c>
      <c r="H179" s="446">
        <v>2.7297156609814703E-3</v>
      </c>
      <c r="I179" s="447">
        <v>3.9275000000000002</v>
      </c>
      <c r="K179" s="434"/>
      <c r="L179" s="446"/>
      <c r="M179" s="446"/>
      <c r="W179" s="434"/>
    </row>
    <row r="180" spans="1:23" s="443" customFormat="1" x14ac:dyDescent="0.25">
      <c r="A180" s="445" t="s">
        <v>246</v>
      </c>
      <c r="B180" s="446" t="s">
        <v>175</v>
      </c>
      <c r="C180" s="446" t="s">
        <v>192</v>
      </c>
      <c r="D180" s="446">
        <v>0</v>
      </c>
      <c r="E180" s="446">
        <v>0.58798747718506816</v>
      </c>
      <c r="F180" s="446">
        <v>7.3501832031808434E-2</v>
      </c>
      <c r="G180" s="446">
        <v>0.30122057297965826</v>
      </c>
      <c r="H180" s="446">
        <v>0</v>
      </c>
      <c r="I180" s="447">
        <v>4.8374999999999995</v>
      </c>
      <c r="K180" s="434"/>
      <c r="L180" s="446"/>
      <c r="M180" s="446"/>
      <c r="W180" s="434"/>
    </row>
    <row r="181" spans="1:23" s="443" customFormat="1" x14ac:dyDescent="0.25">
      <c r="A181" s="445" t="s">
        <v>247</v>
      </c>
      <c r="B181" s="446" t="s">
        <v>175</v>
      </c>
      <c r="C181" s="446" t="s">
        <v>192</v>
      </c>
      <c r="D181" s="446">
        <v>0</v>
      </c>
      <c r="E181" s="446">
        <v>0.21259679929196829</v>
      </c>
      <c r="F181" s="446">
        <v>0.21140234516495471</v>
      </c>
      <c r="G181" s="446">
        <v>0.5436963697119237</v>
      </c>
      <c r="H181" s="446">
        <v>1.5985626027693395E-2</v>
      </c>
      <c r="I181" s="447">
        <v>4.8374999999999995</v>
      </c>
      <c r="K181" s="434"/>
      <c r="L181" s="446"/>
      <c r="M181" s="446"/>
      <c r="W181" s="434"/>
    </row>
    <row r="182" spans="1:23" s="443" customFormat="1" x14ac:dyDescent="0.25">
      <c r="A182" s="445" t="s">
        <v>251</v>
      </c>
      <c r="B182" s="446" t="s">
        <v>175</v>
      </c>
      <c r="C182" s="446" t="s">
        <v>192</v>
      </c>
      <c r="D182" s="446">
        <v>0</v>
      </c>
      <c r="E182" s="446">
        <v>0.66577404794350903</v>
      </c>
      <c r="F182" s="446">
        <v>8.2649195404882608E-2</v>
      </c>
      <c r="G182" s="446">
        <v>0.38976980311980147</v>
      </c>
      <c r="H182" s="446">
        <v>1.1511074920305777E-3</v>
      </c>
      <c r="I182" s="447">
        <v>4.8374999999999995</v>
      </c>
      <c r="K182" s="434"/>
      <c r="L182" s="446"/>
      <c r="M182" s="446"/>
      <c r="W182" s="434"/>
    </row>
    <row r="183" spans="1:23" s="443" customFormat="1" x14ac:dyDescent="0.25">
      <c r="A183" s="445" t="s">
        <v>258</v>
      </c>
      <c r="B183" s="446" t="s">
        <v>175</v>
      </c>
      <c r="C183" s="446" t="s">
        <v>192</v>
      </c>
      <c r="D183" s="446">
        <v>0</v>
      </c>
      <c r="E183" s="446">
        <v>0.21697225607815962</v>
      </c>
      <c r="F183" s="446">
        <v>0.13520166179601226</v>
      </c>
      <c r="G183" s="446">
        <v>0.49462569508074405</v>
      </c>
      <c r="H183" s="446">
        <v>9.8888210227621783E-4</v>
      </c>
      <c r="I183" s="447">
        <v>4.8374999999999995</v>
      </c>
      <c r="K183" s="434"/>
      <c r="L183" s="446"/>
      <c r="M183" s="446"/>
      <c r="W183" s="434"/>
    </row>
    <row r="184" spans="1:23" s="443" customFormat="1" x14ac:dyDescent="0.25">
      <c r="A184" s="445" t="s">
        <v>263</v>
      </c>
      <c r="B184" s="446" t="s">
        <v>149</v>
      </c>
      <c r="C184" s="446" t="s">
        <v>192</v>
      </c>
      <c r="D184" s="446">
        <v>0</v>
      </c>
      <c r="E184" s="446">
        <v>1.3333333333333334E-2</v>
      </c>
      <c r="F184" s="446">
        <v>7.8131585842451876E-2</v>
      </c>
      <c r="G184" s="446">
        <v>0.2608879069638913</v>
      </c>
      <c r="H184" s="446">
        <v>5.4073625082268911E-4</v>
      </c>
      <c r="I184" s="447">
        <v>0</v>
      </c>
      <c r="K184" s="434"/>
      <c r="L184" s="446"/>
      <c r="M184" s="446"/>
      <c r="W184" s="434"/>
    </row>
    <row r="185" spans="1:23" s="443" customFormat="1" x14ac:dyDescent="0.25">
      <c r="A185" s="445" t="s">
        <v>275</v>
      </c>
      <c r="B185" s="446" t="s">
        <v>171</v>
      </c>
      <c r="C185" s="446" t="s">
        <v>192</v>
      </c>
      <c r="D185" s="446">
        <v>0.25623790594558404</v>
      </c>
      <c r="E185" s="446">
        <v>0.12352982042913538</v>
      </c>
      <c r="F185" s="446">
        <v>0.21793222316945987</v>
      </c>
      <c r="G185" s="446">
        <v>0.37231767594101101</v>
      </c>
      <c r="H185" s="446">
        <v>1.661174476170213E-2</v>
      </c>
      <c r="I185" s="447">
        <v>3.9275000000000002</v>
      </c>
      <c r="K185" s="434"/>
      <c r="L185" s="446"/>
      <c r="M185" s="446"/>
      <c r="W185" s="434"/>
    </row>
    <row r="186" spans="1:23" s="443" customFormat="1" x14ac:dyDescent="0.25">
      <c r="A186" s="445" t="s">
        <v>276</v>
      </c>
      <c r="B186" s="446" t="s">
        <v>175</v>
      </c>
      <c r="C186" s="446" t="s">
        <v>192</v>
      </c>
      <c r="D186" s="446">
        <v>0.3072719469000792</v>
      </c>
      <c r="E186" s="446">
        <v>0.21172494337484432</v>
      </c>
      <c r="F186" s="446">
        <v>0.27806274130227693</v>
      </c>
      <c r="G186" s="446">
        <v>0.43337399301630697</v>
      </c>
      <c r="H186" s="446">
        <v>3.1523409983521163E-2</v>
      </c>
      <c r="I186" s="447">
        <v>4.8374999999999995</v>
      </c>
      <c r="K186" s="434"/>
      <c r="L186" s="446"/>
      <c r="M186" s="446"/>
      <c r="W186" s="434"/>
    </row>
    <row r="187" spans="1:23" s="443" customFormat="1" x14ac:dyDescent="0.25">
      <c r="A187" s="434" t="s">
        <v>336</v>
      </c>
      <c r="B187" s="446" t="s">
        <v>130</v>
      </c>
      <c r="C187" s="446" t="s">
        <v>192</v>
      </c>
      <c r="D187" s="446">
        <v>0</v>
      </c>
      <c r="E187" s="446">
        <v>9.3123168129999045E-2</v>
      </c>
      <c r="F187" s="446">
        <v>0.25076633684560368</v>
      </c>
      <c r="G187" s="446">
        <v>0.48156651718762372</v>
      </c>
      <c r="H187" s="446">
        <v>1.9060144917171428E-3</v>
      </c>
      <c r="I187" s="447">
        <v>1.07</v>
      </c>
      <c r="K187" s="434"/>
      <c r="L187" s="446"/>
      <c r="M187" s="446"/>
      <c r="W187" s="434"/>
    </row>
    <row r="188" spans="1:23" s="443" customFormat="1" x14ac:dyDescent="0.25">
      <c r="A188" s="434" t="s">
        <v>339</v>
      </c>
      <c r="B188" s="434" t="s">
        <v>130</v>
      </c>
      <c r="C188" s="362" t="s">
        <v>110</v>
      </c>
      <c r="D188" s="434">
        <v>0</v>
      </c>
      <c r="E188" s="434">
        <v>1.8076642335766422E-2</v>
      </c>
      <c r="F188" s="434">
        <v>0.37029084619387004</v>
      </c>
      <c r="G188" s="434">
        <v>0.29215017674351029</v>
      </c>
      <c r="H188" s="434">
        <v>0</v>
      </c>
      <c r="I188" s="434">
        <v>1.07</v>
      </c>
      <c r="L188" s="434"/>
      <c r="M188" s="434"/>
      <c r="N188" s="362"/>
      <c r="W188" s="434"/>
    </row>
    <row r="189" spans="1:23" s="443" customFormat="1" x14ac:dyDescent="0.25">
      <c r="A189" s="434" t="s">
        <v>350</v>
      </c>
      <c r="B189" s="434" t="s">
        <v>133</v>
      </c>
      <c r="C189" s="362" t="s">
        <v>110</v>
      </c>
      <c r="D189" s="434">
        <v>0</v>
      </c>
      <c r="E189" s="434">
        <v>2.0833333333333337E-3</v>
      </c>
      <c r="F189" s="434">
        <v>0</v>
      </c>
      <c r="G189" s="434">
        <v>3.8890872965260122E-2</v>
      </c>
      <c r="H189" s="434">
        <v>0</v>
      </c>
      <c r="I189" s="434">
        <v>0</v>
      </c>
      <c r="L189" s="434"/>
      <c r="M189" s="434"/>
      <c r="N189" s="362"/>
      <c r="W189" s="434"/>
    </row>
    <row r="190" spans="1:23" s="443" customFormat="1" x14ac:dyDescent="0.25">
      <c r="A190" s="447" t="s">
        <v>204</v>
      </c>
      <c r="B190" s="434" t="s">
        <v>181</v>
      </c>
      <c r="C190" s="362" t="s">
        <v>110</v>
      </c>
      <c r="D190" s="434">
        <v>0</v>
      </c>
      <c r="E190" s="434">
        <v>2.0833333333333337E-3</v>
      </c>
      <c r="F190" s="434">
        <v>0</v>
      </c>
      <c r="G190" s="434">
        <v>3.8890872965260122E-2</v>
      </c>
      <c r="H190" s="434">
        <v>0</v>
      </c>
      <c r="I190" s="434">
        <v>0</v>
      </c>
      <c r="L190" s="447"/>
      <c r="M190" s="434"/>
      <c r="N190" s="362"/>
      <c r="W190" s="434"/>
    </row>
    <row r="191" spans="1:23" s="443" customFormat="1" x14ac:dyDescent="0.25">
      <c r="A191" s="434" t="s">
        <v>340</v>
      </c>
      <c r="B191" s="434" t="s">
        <v>133</v>
      </c>
      <c r="C191" s="362" t="s">
        <v>110</v>
      </c>
      <c r="D191" s="434">
        <v>0</v>
      </c>
      <c r="E191" s="434">
        <v>2.0833333333333337E-3</v>
      </c>
      <c r="F191" s="434">
        <v>0</v>
      </c>
      <c r="G191" s="434">
        <v>3.8890872965260122E-2</v>
      </c>
      <c r="H191" s="434">
        <v>0</v>
      </c>
      <c r="I191" s="434">
        <v>0</v>
      </c>
      <c r="L191" s="434"/>
      <c r="M191" s="434"/>
      <c r="N191" s="362"/>
      <c r="W191" s="434"/>
    </row>
    <row r="192" spans="1:23" s="443" customFormat="1" x14ac:dyDescent="0.25">
      <c r="A192" s="447" t="s">
        <v>219</v>
      </c>
      <c r="B192" s="434" t="s">
        <v>140</v>
      </c>
      <c r="C192" s="362" t="s">
        <v>110</v>
      </c>
      <c r="D192" s="434">
        <v>0.61348618826838841</v>
      </c>
      <c r="E192" s="434">
        <v>0.48103107344632767</v>
      </c>
      <c r="F192" s="434">
        <v>0.13134096949018609</v>
      </c>
      <c r="G192" s="434">
        <v>0.45312030676698506</v>
      </c>
      <c r="H192" s="434">
        <v>4.0482220064367011E-2</v>
      </c>
      <c r="I192" s="434">
        <v>2.6755028248587571</v>
      </c>
      <c r="L192" s="447"/>
      <c r="M192" s="434"/>
      <c r="N192" s="362"/>
      <c r="W192" s="434"/>
    </row>
    <row r="193" spans="1:23" s="443" customFormat="1" x14ac:dyDescent="0.25">
      <c r="A193" s="447" t="s">
        <v>220</v>
      </c>
      <c r="B193" s="434" t="s">
        <v>133</v>
      </c>
      <c r="C193" s="362" t="s">
        <v>110</v>
      </c>
      <c r="D193" s="434">
        <v>0</v>
      </c>
      <c r="E193" s="434">
        <v>2.2500000000000003E-3</v>
      </c>
      <c r="F193" s="434">
        <v>0</v>
      </c>
      <c r="G193" s="434">
        <v>8.6962635654630444E-2</v>
      </c>
      <c r="H193" s="434">
        <v>0</v>
      </c>
      <c r="I193" s="434">
        <v>0</v>
      </c>
      <c r="L193" s="447"/>
      <c r="M193" s="434"/>
      <c r="N193" s="362"/>
      <c r="W193" s="434"/>
    </row>
    <row r="194" spans="1:23" s="443" customFormat="1" x14ac:dyDescent="0.25">
      <c r="A194" s="447" t="s">
        <v>221</v>
      </c>
      <c r="B194" s="434" t="s">
        <v>171</v>
      </c>
      <c r="C194" s="362" t="s">
        <v>110</v>
      </c>
      <c r="D194" s="434">
        <v>0</v>
      </c>
      <c r="E194" s="434">
        <v>0.22988051948051949</v>
      </c>
      <c r="F194" s="434">
        <v>0.44433434483691059</v>
      </c>
      <c r="G194" s="434">
        <v>0.70522171147637136</v>
      </c>
      <c r="H194" s="434">
        <v>0</v>
      </c>
      <c r="I194" s="434">
        <v>2.9247662337662339</v>
      </c>
      <c r="L194" s="447"/>
      <c r="M194" s="434"/>
      <c r="N194" s="362"/>
      <c r="W194" s="434"/>
    </row>
    <row r="195" spans="1:23" s="443" customFormat="1" x14ac:dyDescent="0.25">
      <c r="A195" s="434" t="s">
        <v>342</v>
      </c>
      <c r="B195" s="434" t="s">
        <v>133</v>
      </c>
      <c r="C195" s="362" t="s">
        <v>110</v>
      </c>
      <c r="D195" s="434">
        <v>0</v>
      </c>
      <c r="E195" s="434">
        <v>2.0833333333333337E-3</v>
      </c>
      <c r="F195" s="434">
        <v>0</v>
      </c>
      <c r="G195" s="434">
        <v>3.8890872965260122E-2</v>
      </c>
      <c r="H195" s="434">
        <v>0</v>
      </c>
      <c r="I195" s="434">
        <v>0</v>
      </c>
      <c r="L195" s="434"/>
      <c r="M195" s="434"/>
      <c r="N195" s="362"/>
      <c r="W195" s="434"/>
    </row>
    <row r="196" spans="1:23" s="443" customFormat="1" x14ac:dyDescent="0.25">
      <c r="A196" s="434" t="s">
        <v>351</v>
      </c>
      <c r="B196" s="434" t="s">
        <v>133</v>
      </c>
      <c r="C196" s="362" t="s">
        <v>110</v>
      </c>
      <c r="D196" s="434">
        <v>0</v>
      </c>
      <c r="E196" s="434">
        <v>2.0833333333333337E-3</v>
      </c>
      <c r="F196" s="434">
        <v>0</v>
      </c>
      <c r="G196" s="434">
        <v>3.8890872965260122E-2</v>
      </c>
      <c r="H196" s="434">
        <v>0</v>
      </c>
      <c r="I196" s="434">
        <v>0</v>
      </c>
      <c r="L196" s="434"/>
      <c r="M196" s="434"/>
      <c r="N196" s="362"/>
      <c r="W196" s="434"/>
    </row>
    <row r="197" spans="1:23" s="443" customFormat="1" x14ac:dyDescent="0.25">
      <c r="A197" s="447" t="s">
        <v>352</v>
      </c>
      <c r="B197" s="434" t="s">
        <v>133</v>
      </c>
      <c r="C197" s="362" t="s">
        <v>110</v>
      </c>
      <c r="D197" s="434">
        <v>0</v>
      </c>
      <c r="E197" s="434">
        <v>2.0833333333333337E-3</v>
      </c>
      <c r="F197" s="434">
        <v>0</v>
      </c>
      <c r="G197" s="434">
        <v>3.8890872965260122E-2</v>
      </c>
      <c r="H197" s="434">
        <v>0</v>
      </c>
      <c r="I197" s="434">
        <v>0</v>
      </c>
      <c r="L197" s="447"/>
      <c r="M197" s="434"/>
      <c r="N197" s="362"/>
      <c r="W197" s="434"/>
    </row>
    <row r="198" spans="1:23" s="443" customFormat="1" x14ac:dyDescent="0.25">
      <c r="A198" s="362" t="s">
        <v>337</v>
      </c>
      <c r="B198" s="434" t="s">
        <v>188</v>
      </c>
      <c r="C198" s="362" t="s">
        <v>110</v>
      </c>
      <c r="D198" s="434">
        <v>0.22579427120177961</v>
      </c>
      <c r="E198" s="434">
        <v>5.2440239043824707E-2</v>
      </c>
      <c r="F198" s="434">
        <v>3.4339533680010748E-2</v>
      </c>
      <c r="G198" s="434">
        <v>0.21506345769714899</v>
      </c>
      <c r="H198" s="434">
        <v>0.5653261021470074</v>
      </c>
      <c r="I198" s="434">
        <v>1.49</v>
      </c>
      <c r="L198" s="362"/>
      <c r="M198" s="434"/>
      <c r="N198" s="362"/>
      <c r="W198" s="434"/>
    </row>
    <row r="199" spans="1:23" s="443" customFormat="1" x14ac:dyDescent="0.25">
      <c r="A199" s="447" t="s">
        <v>338</v>
      </c>
      <c r="B199" s="434" t="s">
        <v>188</v>
      </c>
      <c r="C199" s="362" t="s">
        <v>110</v>
      </c>
      <c r="D199" s="434">
        <v>0.27712907665452824</v>
      </c>
      <c r="E199" s="434">
        <v>7.265700483091786E-2</v>
      </c>
      <c r="F199" s="434">
        <v>6.7098760637186533E-2</v>
      </c>
      <c r="G199" s="434">
        <v>0.27403982573151026</v>
      </c>
      <c r="H199" s="434">
        <v>0.55787748296579331</v>
      </c>
      <c r="I199" s="434">
        <v>1.49</v>
      </c>
      <c r="L199" s="447"/>
      <c r="M199" s="434"/>
      <c r="N199" s="362"/>
      <c r="W199" s="434"/>
    </row>
    <row r="200" spans="1:23" s="443" customFormat="1" x14ac:dyDescent="0.25">
      <c r="A200" s="434" t="s">
        <v>341</v>
      </c>
      <c r="B200" s="434" t="s">
        <v>133</v>
      </c>
      <c r="C200" s="362" t="s">
        <v>110</v>
      </c>
      <c r="D200" s="434">
        <v>0</v>
      </c>
      <c r="E200" s="434">
        <v>2.0833333333333337E-3</v>
      </c>
      <c r="F200" s="434">
        <v>0</v>
      </c>
      <c r="G200" s="434">
        <v>3.8890872965260122E-2</v>
      </c>
      <c r="H200" s="434">
        <v>0</v>
      </c>
      <c r="I200" s="434">
        <v>0</v>
      </c>
      <c r="L200" s="434"/>
      <c r="M200" s="434"/>
      <c r="N200" s="362"/>
      <c r="W200" s="434"/>
    </row>
    <row r="201" spans="1:23" s="443" customFormat="1" x14ac:dyDescent="0.25">
      <c r="A201" s="434" t="s">
        <v>227</v>
      </c>
      <c r="B201" s="434" t="s">
        <v>181</v>
      </c>
      <c r="C201" s="362" t="s">
        <v>110</v>
      </c>
      <c r="D201" s="434">
        <v>0</v>
      </c>
      <c r="E201" s="434">
        <v>2.0833333333333337E-3</v>
      </c>
      <c r="F201" s="434">
        <v>0</v>
      </c>
      <c r="G201" s="434">
        <v>3.8890872965260122E-2</v>
      </c>
      <c r="H201" s="434">
        <v>0</v>
      </c>
      <c r="I201" s="434">
        <v>0</v>
      </c>
      <c r="L201" s="434"/>
      <c r="M201" s="434"/>
      <c r="N201" s="362"/>
      <c r="W201" s="434"/>
    </row>
    <row r="202" spans="1:23" s="443" customFormat="1" x14ac:dyDescent="0.25">
      <c r="A202" s="434" t="s">
        <v>234</v>
      </c>
      <c r="B202" s="434" t="s">
        <v>181</v>
      </c>
      <c r="C202" s="362" t="s">
        <v>110</v>
      </c>
      <c r="D202" s="434">
        <v>0</v>
      </c>
      <c r="E202" s="434">
        <v>3.7409638554216869E-2</v>
      </c>
      <c r="F202" s="434">
        <v>4.2449007725800382E-2</v>
      </c>
      <c r="G202" s="434">
        <v>0.26195080242588736</v>
      </c>
      <c r="H202" s="434">
        <v>0</v>
      </c>
      <c r="I202" s="434">
        <v>0</v>
      </c>
      <c r="L202" s="434"/>
      <c r="M202" s="434"/>
      <c r="N202" s="362"/>
      <c r="W202" s="434"/>
    </row>
    <row r="203" spans="1:23" s="443" customFormat="1" x14ac:dyDescent="0.25">
      <c r="A203" s="434" t="s">
        <v>235</v>
      </c>
      <c r="B203" s="434" t="s">
        <v>181</v>
      </c>
      <c r="C203" s="362" t="s">
        <v>110</v>
      </c>
      <c r="D203" s="434">
        <v>0</v>
      </c>
      <c r="E203" s="434">
        <v>2.0833333333333337E-3</v>
      </c>
      <c r="F203" s="434">
        <v>0</v>
      </c>
      <c r="G203" s="434">
        <v>3.8890872965260122E-2</v>
      </c>
      <c r="H203" s="434">
        <v>4.783304592501667E-3</v>
      </c>
      <c r="I203" s="434">
        <v>0</v>
      </c>
      <c r="L203" s="434"/>
      <c r="M203" s="434"/>
      <c r="N203" s="362"/>
      <c r="W203" s="434"/>
    </row>
    <row r="204" spans="1:23" s="443" customFormat="1" x14ac:dyDescent="0.25">
      <c r="A204" s="447" t="s">
        <v>244</v>
      </c>
      <c r="B204" s="434" t="s">
        <v>154</v>
      </c>
      <c r="C204" s="362" t="s">
        <v>110</v>
      </c>
      <c r="D204" s="434">
        <v>0.5938570581787751</v>
      </c>
      <c r="E204" s="434">
        <v>0.22324797645327449</v>
      </c>
      <c r="F204" s="434">
        <v>0.16461805845624511</v>
      </c>
      <c r="G204" s="434">
        <v>0.38773205334164251</v>
      </c>
      <c r="H204" s="434">
        <v>0.16760616630023942</v>
      </c>
      <c r="I204" s="434">
        <v>1.3632626931567329</v>
      </c>
      <c r="L204" s="447"/>
      <c r="M204" s="434"/>
      <c r="N204" s="362"/>
      <c r="W204" s="434"/>
    </row>
    <row r="205" spans="1:23" s="443" customFormat="1" x14ac:dyDescent="0.25">
      <c r="A205" s="434" t="s">
        <v>245</v>
      </c>
      <c r="B205" s="434" t="s">
        <v>154</v>
      </c>
      <c r="C205" s="362" t="s">
        <v>110</v>
      </c>
      <c r="D205" s="434">
        <v>0.4280920212459568</v>
      </c>
      <c r="E205" s="434">
        <v>0.31381333333333328</v>
      </c>
      <c r="F205" s="434">
        <v>0.29568497156178136</v>
      </c>
      <c r="G205" s="434">
        <v>0.54540361299989737</v>
      </c>
      <c r="H205" s="434">
        <v>0.30164237661766918</v>
      </c>
      <c r="I205" s="434">
        <v>1.0047633333333335</v>
      </c>
      <c r="L205" s="434"/>
      <c r="M205" s="434"/>
      <c r="N205" s="362"/>
      <c r="W205" s="434"/>
    </row>
    <row r="206" spans="1:23" s="443" customFormat="1" x14ac:dyDescent="0.25">
      <c r="A206" s="434" t="s">
        <v>249</v>
      </c>
      <c r="B206" s="434" t="s">
        <v>122</v>
      </c>
      <c r="C206" s="362" t="s">
        <v>110</v>
      </c>
      <c r="D206" s="434">
        <v>0</v>
      </c>
      <c r="E206" s="434">
        <v>0</v>
      </c>
      <c r="F206" s="434">
        <v>8.1639413185071782E-3</v>
      </c>
      <c r="G206" s="434">
        <v>8.9232927428294723E-2</v>
      </c>
      <c r="H206" s="434">
        <v>0</v>
      </c>
      <c r="I206" s="434">
        <v>0</v>
      </c>
      <c r="L206" s="434"/>
      <c r="M206" s="434"/>
      <c r="N206" s="362"/>
      <c r="W206" s="434"/>
    </row>
    <row r="207" spans="1:23" s="443" customFormat="1" x14ac:dyDescent="0.25">
      <c r="A207" s="447" t="s">
        <v>250</v>
      </c>
      <c r="B207" s="434" t="s">
        <v>188</v>
      </c>
      <c r="C207" s="362" t="s">
        <v>110</v>
      </c>
      <c r="D207" s="434">
        <v>0.70311614561032765</v>
      </c>
      <c r="E207" s="434">
        <v>0.34760115606936415</v>
      </c>
      <c r="F207" s="434">
        <v>2.9161256354687387E-2</v>
      </c>
      <c r="G207" s="434">
        <v>0.35826047940478745</v>
      </c>
      <c r="H207" s="434">
        <v>0.55610901226815856</v>
      </c>
      <c r="I207" s="434">
        <v>1.7426416184971099</v>
      </c>
      <c r="L207" s="447"/>
      <c r="M207" s="434"/>
      <c r="N207" s="362"/>
      <c r="W207" s="434"/>
    </row>
    <row r="208" spans="1:23" s="443" customFormat="1" x14ac:dyDescent="0.25">
      <c r="A208" s="447" t="s">
        <v>343</v>
      </c>
      <c r="B208" s="434" t="s">
        <v>133</v>
      </c>
      <c r="C208" s="362" t="s">
        <v>110</v>
      </c>
      <c r="D208" s="434">
        <v>2.939815783088038E-2</v>
      </c>
      <c r="E208" s="434">
        <v>2.0833333333333337E-3</v>
      </c>
      <c r="F208" s="434">
        <v>0</v>
      </c>
      <c r="G208" s="434">
        <v>3.0052038200428274E-2</v>
      </c>
      <c r="H208" s="434">
        <v>4.490836985388337E-2</v>
      </c>
      <c r="I208" s="434">
        <v>0</v>
      </c>
      <c r="L208" s="447"/>
      <c r="M208" s="434"/>
      <c r="N208" s="362"/>
      <c r="W208" s="434"/>
    </row>
    <row r="209" spans="1:23" s="443" customFormat="1" x14ac:dyDescent="0.25">
      <c r="A209" s="434" t="s">
        <v>254</v>
      </c>
      <c r="B209" s="434" t="s">
        <v>133</v>
      </c>
      <c r="C209" s="362" t="s">
        <v>110</v>
      </c>
      <c r="D209" s="434">
        <v>0</v>
      </c>
      <c r="E209" s="434">
        <v>2.0833333333333337E-3</v>
      </c>
      <c r="F209" s="434">
        <v>0</v>
      </c>
      <c r="G209" s="434">
        <v>3.5469377855218524E-2</v>
      </c>
      <c r="H209" s="434">
        <v>0</v>
      </c>
      <c r="I209" s="434">
        <v>0</v>
      </c>
      <c r="L209" s="434"/>
      <c r="M209" s="434"/>
      <c r="N209" s="362"/>
      <c r="W209" s="434"/>
    </row>
    <row r="210" spans="1:23" s="443" customFormat="1" x14ac:dyDescent="0.25">
      <c r="A210" s="434" t="s">
        <v>255</v>
      </c>
      <c r="B210" s="434" t="s">
        <v>133</v>
      </c>
      <c r="C210" s="362" t="s">
        <v>110</v>
      </c>
      <c r="D210" s="434">
        <v>0</v>
      </c>
      <c r="E210" s="434">
        <v>2.0833333333333337E-3</v>
      </c>
      <c r="F210" s="434">
        <v>0</v>
      </c>
      <c r="G210" s="434">
        <v>3.3472847571242796E-2</v>
      </c>
      <c r="H210" s="434">
        <v>0</v>
      </c>
      <c r="I210" s="434">
        <v>0</v>
      </c>
      <c r="L210" s="434"/>
      <c r="M210" s="434"/>
      <c r="N210" s="362"/>
      <c r="W210" s="434"/>
    </row>
    <row r="211" spans="1:23" s="443" customFormat="1" x14ac:dyDescent="0.25">
      <c r="A211" s="447" t="s">
        <v>344</v>
      </c>
      <c r="B211" s="434" t="s">
        <v>133</v>
      </c>
      <c r="C211" s="362" t="s">
        <v>110</v>
      </c>
      <c r="D211" s="434">
        <v>0</v>
      </c>
      <c r="E211" s="434">
        <v>2.0833333333333337E-3</v>
      </c>
      <c r="F211" s="434">
        <v>0</v>
      </c>
      <c r="G211" s="434">
        <v>3.8890872965260122E-2</v>
      </c>
      <c r="H211" s="434">
        <v>0</v>
      </c>
      <c r="I211" s="434">
        <v>0</v>
      </c>
      <c r="L211" s="447"/>
      <c r="M211" s="434"/>
      <c r="N211" s="362"/>
      <c r="W211" s="434"/>
    </row>
    <row r="212" spans="1:23" s="443" customFormat="1" x14ac:dyDescent="0.25">
      <c r="A212" s="434" t="s">
        <v>256</v>
      </c>
      <c r="B212" s="434" t="s">
        <v>154</v>
      </c>
      <c r="C212" s="362" t="s">
        <v>110</v>
      </c>
      <c r="D212" s="434">
        <v>0.57999672167082694</v>
      </c>
      <c r="E212" s="434">
        <v>0.24976931949250294</v>
      </c>
      <c r="F212" s="434">
        <v>2.5694051882367945E-2</v>
      </c>
      <c r="G212" s="434">
        <v>0.13737658981299489</v>
      </c>
      <c r="H212" s="434">
        <v>0.22433188665265996</v>
      </c>
      <c r="I212" s="434">
        <v>1.49</v>
      </c>
      <c r="L212" s="434"/>
      <c r="M212" s="434"/>
      <c r="N212" s="362"/>
      <c r="W212" s="434"/>
    </row>
    <row r="213" spans="1:23" s="443" customFormat="1" x14ac:dyDescent="0.25">
      <c r="A213" s="434" t="s">
        <v>257</v>
      </c>
      <c r="B213" s="434" t="s">
        <v>154</v>
      </c>
      <c r="C213" s="362" t="s">
        <v>110</v>
      </c>
      <c r="D213" s="434">
        <v>0.53473837997478868</v>
      </c>
      <c r="E213" s="434">
        <v>0.18055121381886086</v>
      </c>
      <c r="F213" s="434">
        <v>5.2913773163527397E-2</v>
      </c>
      <c r="G213" s="434">
        <v>0.15770065401253644</v>
      </c>
      <c r="H213" s="434">
        <v>0.17721714988585632</v>
      </c>
      <c r="I213" s="434">
        <v>1.49</v>
      </c>
      <c r="L213" s="434"/>
      <c r="M213" s="434"/>
      <c r="N213" s="362"/>
      <c r="W213" s="434"/>
    </row>
    <row r="214" spans="1:23" s="443" customFormat="1" x14ac:dyDescent="0.25">
      <c r="A214" s="434" t="s">
        <v>345</v>
      </c>
      <c r="B214" s="434" t="s">
        <v>133</v>
      </c>
      <c r="C214" s="362" t="s">
        <v>110</v>
      </c>
      <c r="D214" s="434">
        <v>6.7304979947679047E-2</v>
      </c>
      <c r="E214" s="434">
        <v>2.0833333333333336E-2</v>
      </c>
      <c r="F214" s="434">
        <v>0</v>
      </c>
      <c r="G214" s="434">
        <v>3.7123106012293752E-2</v>
      </c>
      <c r="H214" s="434">
        <v>9.8457156410669558E-2</v>
      </c>
      <c r="I214" s="434">
        <v>0</v>
      </c>
      <c r="L214" s="434"/>
      <c r="M214" s="434"/>
      <c r="N214" s="362"/>
      <c r="W214" s="434"/>
    </row>
    <row r="215" spans="1:23" s="443" customFormat="1" x14ac:dyDescent="0.25">
      <c r="A215" s="434" t="s">
        <v>263</v>
      </c>
      <c r="B215" s="434" t="s">
        <v>173</v>
      </c>
      <c r="C215" s="362" t="s">
        <v>110</v>
      </c>
      <c r="D215" s="434">
        <v>0</v>
      </c>
      <c r="E215" s="434">
        <v>1.3333333333333334E-2</v>
      </c>
      <c r="F215" s="434">
        <v>7.8131585842451876E-2</v>
      </c>
      <c r="G215" s="434">
        <v>0.2608879069638913</v>
      </c>
      <c r="H215" s="434">
        <v>5.4073625082268911E-4</v>
      </c>
      <c r="I215" s="434">
        <v>3</v>
      </c>
      <c r="L215" s="434"/>
      <c r="M215" s="434"/>
      <c r="N215" s="362"/>
      <c r="W215" s="434"/>
    </row>
    <row r="216" spans="1:23" s="443" customFormat="1" x14ac:dyDescent="0.25">
      <c r="A216" s="434" t="s">
        <v>346</v>
      </c>
      <c r="B216" s="434" t="s">
        <v>137</v>
      </c>
      <c r="C216" s="362" t="s">
        <v>110</v>
      </c>
      <c r="D216" s="434">
        <v>0</v>
      </c>
      <c r="E216" s="434">
        <v>3.6309221840068781E-2</v>
      </c>
      <c r="F216" s="434">
        <v>0.38728245693459468</v>
      </c>
      <c r="G216" s="434">
        <v>0.45553418414651931</v>
      </c>
      <c r="H216" s="434">
        <v>3.76594460237053E-3</v>
      </c>
      <c r="I216" s="434">
        <v>0.98</v>
      </c>
      <c r="L216" s="434"/>
      <c r="M216" s="434"/>
      <c r="N216" s="362"/>
      <c r="W216" s="434"/>
    </row>
    <row r="217" spans="1:23" s="443" customFormat="1" x14ac:dyDescent="0.25">
      <c r="A217" s="447" t="s">
        <v>347</v>
      </c>
      <c r="B217" s="434" t="s">
        <v>137</v>
      </c>
      <c r="C217" s="362" t="s">
        <v>110</v>
      </c>
      <c r="D217" s="434">
        <v>0</v>
      </c>
      <c r="E217" s="434">
        <v>0</v>
      </c>
      <c r="F217" s="434">
        <v>6.8719491907401564E-2</v>
      </c>
      <c r="G217" s="434">
        <v>0.13972835910523254</v>
      </c>
      <c r="H217" s="434">
        <v>0</v>
      </c>
      <c r="I217" s="434">
        <v>0.98</v>
      </c>
      <c r="L217" s="447"/>
      <c r="M217" s="434"/>
      <c r="N217" s="362"/>
      <c r="W217" s="434"/>
    </row>
    <row r="218" spans="1:23" s="443" customFormat="1" x14ac:dyDescent="0.25">
      <c r="A218" s="447" t="s">
        <v>348</v>
      </c>
      <c r="B218" s="434" t="s">
        <v>137</v>
      </c>
      <c r="C218" s="362" t="s">
        <v>110</v>
      </c>
      <c r="D218" s="434">
        <v>0</v>
      </c>
      <c r="E218" s="434">
        <v>0</v>
      </c>
      <c r="F218" s="434">
        <v>7.2062562312362036E-2</v>
      </c>
      <c r="G218" s="434">
        <v>0.14036746238821504</v>
      </c>
      <c r="H218" s="434">
        <v>0</v>
      </c>
      <c r="I218" s="434">
        <v>0.98</v>
      </c>
      <c r="L218" s="447"/>
      <c r="M218" s="434"/>
      <c r="N218" s="362"/>
      <c r="W218" s="434"/>
    </row>
    <row r="219" spans="1:23" s="443" customFormat="1" x14ac:dyDescent="0.25">
      <c r="A219" s="434" t="s">
        <v>349</v>
      </c>
      <c r="B219" s="434" t="s">
        <v>137</v>
      </c>
      <c r="C219" s="362" t="s">
        <v>110</v>
      </c>
      <c r="D219" s="434">
        <v>0</v>
      </c>
      <c r="E219" s="434">
        <v>2.2985845129059119E-2</v>
      </c>
      <c r="F219" s="434">
        <v>0.37025782219610964</v>
      </c>
      <c r="G219" s="434">
        <v>0.28644316422220162</v>
      </c>
      <c r="H219" s="434">
        <v>0</v>
      </c>
      <c r="I219" s="434">
        <v>0.98</v>
      </c>
      <c r="L219" s="434"/>
      <c r="M219" s="434"/>
      <c r="N219" s="362"/>
      <c r="W219" s="434"/>
    </row>
    <row r="220" spans="1:23" s="443" customFormat="1" x14ac:dyDescent="0.25">
      <c r="A220" s="434" t="s">
        <v>264</v>
      </c>
      <c r="B220" s="434" t="s">
        <v>181</v>
      </c>
      <c r="C220" s="362" t="s">
        <v>110</v>
      </c>
      <c r="D220" s="434">
        <v>0</v>
      </c>
      <c r="E220" s="434">
        <v>6.483041722745625E-2</v>
      </c>
      <c r="F220" s="434">
        <v>0.18274732739580876</v>
      </c>
      <c r="G220" s="434">
        <v>0.42103086813751545</v>
      </c>
      <c r="H220" s="434">
        <v>0</v>
      </c>
      <c r="I220" s="434">
        <v>0</v>
      </c>
      <c r="L220" s="434"/>
      <c r="M220" s="434"/>
      <c r="N220" s="362"/>
      <c r="W220" s="434"/>
    </row>
    <row r="221" spans="1:23" s="443" customFormat="1" x14ac:dyDescent="0.25">
      <c r="A221" s="434" t="s">
        <v>265</v>
      </c>
      <c r="B221" s="434" t="s">
        <v>181</v>
      </c>
      <c r="C221" s="362" t="s">
        <v>110</v>
      </c>
      <c r="D221" s="434">
        <v>0</v>
      </c>
      <c r="E221" s="434">
        <v>6.483041722745625E-2</v>
      </c>
      <c r="F221" s="434">
        <v>0.18274732739580876</v>
      </c>
      <c r="G221" s="434">
        <v>0.42103086813751545</v>
      </c>
      <c r="H221" s="434">
        <v>0</v>
      </c>
      <c r="I221" s="434">
        <v>0</v>
      </c>
      <c r="L221" s="434"/>
      <c r="M221" s="434"/>
      <c r="N221" s="362"/>
      <c r="W221" s="434"/>
    </row>
    <row r="222" spans="1:23" s="443" customFormat="1" x14ac:dyDescent="0.25">
      <c r="A222" s="434" t="s">
        <v>528</v>
      </c>
      <c r="B222" s="434" t="s">
        <v>181</v>
      </c>
      <c r="C222" s="362" t="s">
        <v>110</v>
      </c>
      <c r="D222" s="434">
        <v>0</v>
      </c>
      <c r="E222" s="434">
        <v>9.8659793814432989E-2</v>
      </c>
      <c r="F222" s="434">
        <v>0.43114723696141771</v>
      </c>
      <c r="G222" s="434">
        <v>0.53576951114463867</v>
      </c>
      <c r="H222" s="434">
        <v>0</v>
      </c>
      <c r="I222" s="434">
        <v>0</v>
      </c>
      <c r="L222" s="434"/>
      <c r="M222" s="434"/>
      <c r="N222" s="362"/>
      <c r="W222" s="434"/>
    </row>
    <row r="223" spans="1:23" s="443" customFormat="1" x14ac:dyDescent="0.25">
      <c r="A223" s="434" t="s">
        <v>267</v>
      </c>
      <c r="B223" s="434" t="s">
        <v>181</v>
      </c>
      <c r="C223" s="362" t="s">
        <v>110</v>
      </c>
      <c r="D223" s="434">
        <v>0</v>
      </c>
      <c r="E223" s="434">
        <v>2.2500000000000003E-3</v>
      </c>
      <c r="F223" s="434">
        <v>0</v>
      </c>
      <c r="G223" s="434">
        <v>8.6962635654630444E-2</v>
      </c>
      <c r="H223" s="434">
        <v>0</v>
      </c>
      <c r="I223" s="434">
        <v>0</v>
      </c>
      <c r="L223" s="434"/>
      <c r="M223" s="434"/>
      <c r="N223" s="362"/>
      <c r="W223" s="434"/>
    </row>
    <row r="224" spans="1:23" s="443" customFormat="1" x14ac:dyDescent="0.25">
      <c r="A224" s="434" t="s">
        <v>279</v>
      </c>
      <c r="B224" s="434" t="s">
        <v>122</v>
      </c>
      <c r="C224" s="362" t="s">
        <v>110</v>
      </c>
      <c r="D224" s="434">
        <v>0</v>
      </c>
      <c r="E224" s="434">
        <v>1.2500000000000001E-2</v>
      </c>
      <c r="F224" s="434">
        <v>0</v>
      </c>
      <c r="G224" s="434">
        <v>5.3033008588991071E-2</v>
      </c>
      <c r="H224" s="434">
        <v>0</v>
      </c>
      <c r="I224" s="434">
        <v>0</v>
      </c>
      <c r="L224" s="434"/>
      <c r="M224" s="434"/>
      <c r="N224" s="362"/>
      <c r="W224" s="434"/>
    </row>
    <row r="225" spans="1:23" s="443" customFormat="1" x14ac:dyDescent="0.25">
      <c r="A225" s="434" t="s">
        <v>211</v>
      </c>
      <c r="B225" s="434" t="s">
        <v>126</v>
      </c>
      <c r="C225" s="434" t="s">
        <v>529</v>
      </c>
      <c r="D225" s="444" t="e">
        <f>NA()</f>
        <v>#N/A</v>
      </c>
      <c r="E225" s="444" t="e">
        <f>NA()</f>
        <v>#N/A</v>
      </c>
      <c r="F225" s="444" t="e">
        <f>NA()</f>
        <v>#N/A</v>
      </c>
      <c r="G225" s="444" t="e">
        <f>NA()</f>
        <v>#N/A</v>
      </c>
      <c r="H225" s="444" t="e">
        <f>NA()</f>
        <v>#N/A</v>
      </c>
      <c r="I225" s="449">
        <f>5.38*$K$228</f>
        <v>1.4672727272727271</v>
      </c>
      <c r="J225" s="444" t="s">
        <v>530</v>
      </c>
      <c r="W225" s="434"/>
    </row>
    <row r="226" spans="1:23" s="443" customFormat="1" x14ac:dyDescent="0.25">
      <c r="A226" s="434" t="s">
        <v>211</v>
      </c>
      <c r="B226" s="434" t="s">
        <v>163</v>
      </c>
      <c r="C226" s="434" t="s">
        <v>529</v>
      </c>
      <c r="D226" s="444" t="e">
        <f>NA()</f>
        <v>#N/A</v>
      </c>
      <c r="E226" s="444" t="e">
        <f>NA()</f>
        <v>#N/A</v>
      </c>
      <c r="F226" s="444" t="e">
        <f>NA()</f>
        <v>#N/A</v>
      </c>
      <c r="G226" s="444" t="e">
        <f>NA()</f>
        <v>#N/A</v>
      </c>
      <c r="H226" s="444" t="e">
        <f>NA()</f>
        <v>#N/A</v>
      </c>
      <c r="I226" s="449">
        <f t="shared" ref="I226:I248" si="0">5.38*$K$228</f>
        <v>1.4672727272727271</v>
      </c>
      <c r="J226" s="450" t="s">
        <v>531</v>
      </c>
      <c r="W226" s="434"/>
    </row>
    <row r="227" spans="1:23" s="443" customFormat="1" x14ac:dyDescent="0.25">
      <c r="A227" s="434" t="s">
        <v>211</v>
      </c>
      <c r="B227" s="434" t="s">
        <v>177</v>
      </c>
      <c r="C227" s="434" t="s">
        <v>529</v>
      </c>
      <c r="D227" s="444" t="e">
        <f>NA()</f>
        <v>#N/A</v>
      </c>
      <c r="E227" s="444" t="e">
        <f>NA()</f>
        <v>#N/A</v>
      </c>
      <c r="F227" s="444" t="e">
        <f>NA()</f>
        <v>#N/A</v>
      </c>
      <c r="G227" s="444" t="e">
        <f>NA()</f>
        <v>#N/A</v>
      </c>
      <c r="H227" s="444" t="e">
        <f>NA()</f>
        <v>#N/A</v>
      </c>
      <c r="I227" s="449">
        <f t="shared" si="0"/>
        <v>1.4672727272727271</v>
      </c>
      <c r="J227" s="450" t="s">
        <v>532</v>
      </c>
      <c r="W227" s="434"/>
    </row>
    <row r="228" spans="1:23" s="443" customFormat="1" x14ac:dyDescent="0.25">
      <c r="A228" s="434" t="s">
        <v>211</v>
      </c>
      <c r="B228" s="434" t="s">
        <v>179</v>
      </c>
      <c r="C228" s="434" t="s">
        <v>529</v>
      </c>
      <c r="D228" s="444" t="e">
        <f>NA()</f>
        <v>#N/A</v>
      </c>
      <c r="E228" s="444" t="e">
        <f>NA()</f>
        <v>#N/A</v>
      </c>
      <c r="F228" s="444" t="e">
        <f>NA()</f>
        <v>#N/A</v>
      </c>
      <c r="G228" s="444" t="e">
        <f>NA()</f>
        <v>#N/A</v>
      </c>
      <c r="H228" s="444" t="e">
        <f>NA()</f>
        <v>#N/A</v>
      </c>
      <c r="I228" s="449">
        <f t="shared" si="0"/>
        <v>1.4672727272727271</v>
      </c>
      <c r="J228" s="450" t="s">
        <v>533</v>
      </c>
      <c r="K228" s="443">
        <f>300/1100</f>
        <v>0.27272727272727271</v>
      </c>
      <c r="W228" s="434"/>
    </row>
    <row r="229" spans="1:23" s="443" customFormat="1" x14ac:dyDescent="0.25">
      <c r="A229" s="434" t="s">
        <v>211</v>
      </c>
      <c r="B229" s="434" t="s">
        <v>156</v>
      </c>
      <c r="C229" s="434" t="s">
        <v>529</v>
      </c>
      <c r="D229" s="444" t="e">
        <f>NA()</f>
        <v>#N/A</v>
      </c>
      <c r="E229" s="444" t="e">
        <f>NA()</f>
        <v>#N/A</v>
      </c>
      <c r="F229" s="444" t="e">
        <f>NA()</f>
        <v>#N/A</v>
      </c>
      <c r="G229" s="444" t="e">
        <f>NA()</f>
        <v>#N/A</v>
      </c>
      <c r="H229" s="444" t="e">
        <f>NA()</f>
        <v>#N/A</v>
      </c>
      <c r="I229" s="449">
        <f t="shared" si="0"/>
        <v>1.4672727272727271</v>
      </c>
      <c r="W229" s="434"/>
    </row>
    <row r="230" spans="1:23" s="443" customFormat="1" x14ac:dyDescent="0.25">
      <c r="A230" s="434" t="s">
        <v>211</v>
      </c>
      <c r="B230" s="434" t="s">
        <v>165</v>
      </c>
      <c r="C230" s="434" t="s">
        <v>529</v>
      </c>
      <c r="D230" s="444" t="e">
        <f>NA()</f>
        <v>#N/A</v>
      </c>
      <c r="E230" s="444" t="e">
        <f>NA()</f>
        <v>#N/A</v>
      </c>
      <c r="F230" s="444" t="e">
        <f>NA()</f>
        <v>#N/A</v>
      </c>
      <c r="G230" s="444" t="e">
        <f>NA()</f>
        <v>#N/A</v>
      </c>
      <c r="H230" s="444" t="e">
        <f>NA()</f>
        <v>#N/A</v>
      </c>
      <c r="I230" s="449">
        <f t="shared" si="0"/>
        <v>1.4672727272727271</v>
      </c>
      <c r="W230" s="434"/>
    </row>
    <row r="231" spans="1:23" s="443" customFormat="1" x14ac:dyDescent="0.25">
      <c r="A231" s="434" t="s">
        <v>211</v>
      </c>
      <c r="B231" s="434" t="s">
        <v>159</v>
      </c>
      <c r="C231" s="434" t="s">
        <v>529</v>
      </c>
      <c r="D231" s="444" t="e">
        <f>NA()</f>
        <v>#N/A</v>
      </c>
      <c r="E231" s="444" t="e">
        <f>NA()</f>
        <v>#N/A</v>
      </c>
      <c r="F231" s="444" t="e">
        <f>NA()</f>
        <v>#N/A</v>
      </c>
      <c r="G231" s="444" t="e">
        <f>NA()</f>
        <v>#N/A</v>
      </c>
      <c r="H231" s="444" t="e">
        <f>NA()</f>
        <v>#N/A</v>
      </c>
      <c r="I231" s="449">
        <f t="shared" si="0"/>
        <v>1.4672727272727271</v>
      </c>
      <c r="W231" s="434"/>
    </row>
    <row r="232" spans="1:23" s="443" customFormat="1" x14ac:dyDescent="0.25">
      <c r="A232" s="434" t="s">
        <v>211</v>
      </c>
      <c r="B232" s="434" t="s">
        <v>161</v>
      </c>
      <c r="C232" s="434" t="s">
        <v>529</v>
      </c>
      <c r="D232" s="444" t="e">
        <f>NA()</f>
        <v>#N/A</v>
      </c>
      <c r="E232" s="444" t="e">
        <f>NA()</f>
        <v>#N/A</v>
      </c>
      <c r="F232" s="444" t="e">
        <f>NA()</f>
        <v>#N/A</v>
      </c>
      <c r="G232" s="444" t="e">
        <f>NA()</f>
        <v>#N/A</v>
      </c>
      <c r="H232" s="444" t="e">
        <f>NA()</f>
        <v>#N/A</v>
      </c>
      <c r="I232" s="449">
        <f t="shared" si="0"/>
        <v>1.4672727272727271</v>
      </c>
      <c r="W232" s="434"/>
    </row>
    <row r="233" spans="1:23" s="443" customFormat="1" x14ac:dyDescent="0.25">
      <c r="A233" s="434" t="s">
        <v>211</v>
      </c>
      <c r="B233" s="434" t="s">
        <v>162</v>
      </c>
      <c r="C233" s="434" t="s">
        <v>529</v>
      </c>
      <c r="D233" s="444" t="e">
        <f>NA()</f>
        <v>#N/A</v>
      </c>
      <c r="E233" s="444" t="e">
        <f>NA()</f>
        <v>#N/A</v>
      </c>
      <c r="F233" s="444" t="e">
        <f>NA()</f>
        <v>#N/A</v>
      </c>
      <c r="G233" s="444" t="e">
        <f>NA()</f>
        <v>#N/A</v>
      </c>
      <c r="H233" s="444" t="e">
        <f>NA()</f>
        <v>#N/A</v>
      </c>
      <c r="I233" s="449">
        <f t="shared" si="0"/>
        <v>1.4672727272727271</v>
      </c>
      <c r="W233" s="434"/>
    </row>
    <row r="234" spans="1:23" s="443" customFormat="1" x14ac:dyDescent="0.25">
      <c r="A234" s="434" t="s">
        <v>211</v>
      </c>
      <c r="B234" s="434" t="s">
        <v>167</v>
      </c>
      <c r="C234" s="434" t="s">
        <v>529</v>
      </c>
      <c r="D234" s="444" t="e">
        <f>NA()</f>
        <v>#N/A</v>
      </c>
      <c r="E234" s="444" t="e">
        <f>NA()</f>
        <v>#N/A</v>
      </c>
      <c r="F234" s="444" t="e">
        <f>NA()</f>
        <v>#N/A</v>
      </c>
      <c r="G234" s="444" t="e">
        <f>NA()</f>
        <v>#N/A</v>
      </c>
      <c r="H234" s="444" t="e">
        <f>NA()</f>
        <v>#N/A</v>
      </c>
      <c r="I234" s="449">
        <f t="shared" si="0"/>
        <v>1.4672727272727271</v>
      </c>
      <c r="W234" s="434"/>
    </row>
    <row r="235" spans="1:23" s="443" customFormat="1" x14ac:dyDescent="0.25">
      <c r="A235" s="434" t="s">
        <v>211</v>
      </c>
      <c r="B235" s="434" t="s">
        <v>168</v>
      </c>
      <c r="C235" s="434" t="s">
        <v>529</v>
      </c>
      <c r="D235" s="444" t="e">
        <f>NA()</f>
        <v>#N/A</v>
      </c>
      <c r="E235" s="444" t="e">
        <f>NA()</f>
        <v>#N/A</v>
      </c>
      <c r="F235" s="444" t="e">
        <f>NA()</f>
        <v>#N/A</v>
      </c>
      <c r="G235" s="444" t="e">
        <f>NA()</f>
        <v>#N/A</v>
      </c>
      <c r="H235" s="444" t="e">
        <f>NA()</f>
        <v>#N/A</v>
      </c>
      <c r="I235" s="449">
        <f t="shared" si="0"/>
        <v>1.4672727272727271</v>
      </c>
      <c r="W235" s="434"/>
    </row>
    <row r="236" spans="1:23" s="443" customFormat="1" x14ac:dyDescent="0.25">
      <c r="A236" s="434" t="s">
        <v>211</v>
      </c>
      <c r="B236" s="434" t="s">
        <v>112</v>
      </c>
      <c r="C236" s="434" t="s">
        <v>529</v>
      </c>
      <c r="D236" s="444" t="e">
        <f>NA()</f>
        <v>#N/A</v>
      </c>
      <c r="E236" s="444" t="e">
        <f>NA()</f>
        <v>#N/A</v>
      </c>
      <c r="F236" s="444" t="e">
        <f>NA()</f>
        <v>#N/A</v>
      </c>
      <c r="G236" s="444" t="e">
        <f>NA()</f>
        <v>#N/A</v>
      </c>
      <c r="H236" s="444" t="e">
        <f>NA()</f>
        <v>#N/A</v>
      </c>
      <c r="I236" s="449">
        <f t="shared" si="0"/>
        <v>1.4672727272727271</v>
      </c>
      <c r="W236" s="434"/>
    </row>
    <row r="237" spans="1:23" s="443" customFormat="1" x14ac:dyDescent="0.25">
      <c r="A237" s="434" t="s">
        <v>211</v>
      </c>
      <c r="B237" s="434" t="s">
        <v>126</v>
      </c>
      <c r="C237" s="434" t="s">
        <v>110</v>
      </c>
      <c r="D237" s="444" t="e">
        <f>NA()</f>
        <v>#N/A</v>
      </c>
      <c r="E237" s="444" t="e">
        <f>NA()</f>
        <v>#N/A</v>
      </c>
      <c r="F237" s="444" t="e">
        <f>NA()</f>
        <v>#N/A</v>
      </c>
      <c r="G237" s="444" t="e">
        <f>NA()</f>
        <v>#N/A</v>
      </c>
      <c r="H237" s="444" t="e">
        <f>NA()</f>
        <v>#N/A</v>
      </c>
      <c r="I237" s="449">
        <f t="shared" si="0"/>
        <v>1.4672727272727271</v>
      </c>
      <c r="J237"/>
      <c r="K237"/>
      <c r="L237"/>
      <c r="M237"/>
      <c r="N237"/>
      <c r="O237"/>
      <c r="P237"/>
      <c r="Q237"/>
      <c r="R237"/>
      <c r="S237"/>
      <c r="T237"/>
      <c r="U237"/>
      <c r="V237"/>
      <c r="W237"/>
    </row>
    <row r="238" spans="1:23" x14ac:dyDescent="0.25">
      <c r="A238" s="434" t="s">
        <v>211</v>
      </c>
      <c r="B238" s="434" t="s">
        <v>163</v>
      </c>
      <c r="C238" s="434" t="s">
        <v>110</v>
      </c>
      <c r="D238" s="444" t="e">
        <f>NA()</f>
        <v>#N/A</v>
      </c>
      <c r="E238" s="444" t="e">
        <f>NA()</f>
        <v>#N/A</v>
      </c>
      <c r="F238" s="444" t="e">
        <f>NA()</f>
        <v>#N/A</v>
      </c>
      <c r="G238" s="444" t="e">
        <f>NA()</f>
        <v>#N/A</v>
      </c>
      <c r="H238" s="444" t="e">
        <f>NA()</f>
        <v>#N/A</v>
      </c>
      <c r="I238" s="449">
        <f t="shared" si="0"/>
        <v>1.4672727272727271</v>
      </c>
    </row>
    <row r="239" spans="1:23" x14ac:dyDescent="0.25">
      <c r="A239" s="434" t="s">
        <v>211</v>
      </c>
      <c r="B239" s="434" t="s">
        <v>177</v>
      </c>
      <c r="C239" s="434" t="s">
        <v>110</v>
      </c>
      <c r="D239" s="444" t="e">
        <f>NA()</f>
        <v>#N/A</v>
      </c>
      <c r="E239" s="444" t="e">
        <f>NA()</f>
        <v>#N/A</v>
      </c>
      <c r="F239" s="444" t="e">
        <f>NA()</f>
        <v>#N/A</v>
      </c>
      <c r="G239" s="444" t="e">
        <f>NA()</f>
        <v>#N/A</v>
      </c>
      <c r="H239" s="444" t="e">
        <f>NA()</f>
        <v>#N/A</v>
      </c>
      <c r="I239" s="449">
        <f t="shared" si="0"/>
        <v>1.4672727272727271</v>
      </c>
    </row>
    <row r="240" spans="1:23" x14ac:dyDescent="0.25">
      <c r="A240" s="434" t="s">
        <v>211</v>
      </c>
      <c r="B240" s="434" t="s">
        <v>179</v>
      </c>
      <c r="C240" s="434" t="s">
        <v>110</v>
      </c>
      <c r="D240" s="444" t="e">
        <f>NA()</f>
        <v>#N/A</v>
      </c>
      <c r="E240" s="444" t="e">
        <f>NA()</f>
        <v>#N/A</v>
      </c>
      <c r="F240" s="444" t="e">
        <f>NA()</f>
        <v>#N/A</v>
      </c>
      <c r="G240" s="444" t="e">
        <f>NA()</f>
        <v>#N/A</v>
      </c>
      <c r="H240" s="444" t="e">
        <f>NA()</f>
        <v>#N/A</v>
      </c>
      <c r="I240" s="449">
        <f t="shared" si="0"/>
        <v>1.4672727272727271</v>
      </c>
    </row>
    <row r="241" spans="1:9" x14ac:dyDescent="0.25">
      <c r="A241" s="434" t="s">
        <v>211</v>
      </c>
      <c r="B241" s="434" t="s">
        <v>156</v>
      </c>
      <c r="C241" s="434" t="s">
        <v>110</v>
      </c>
      <c r="D241" s="444" t="e">
        <f>NA()</f>
        <v>#N/A</v>
      </c>
      <c r="E241" s="444" t="e">
        <f>NA()</f>
        <v>#N/A</v>
      </c>
      <c r="F241" s="444" t="e">
        <f>NA()</f>
        <v>#N/A</v>
      </c>
      <c r="G241" s="444" t="e">
        <f>NA()</f>
        <v>#N/A</v>
      </c>
      <c r="H241" s="444" t="e">
        <f>NA()</f>
        <v>#N/A</v>
      </c>
      <c r="I241" s="449">
        <f t="shared" si="0"/>
        <v>1.4672727272727271</v>
      </c>
    </row>
    <row r="242" spans="1:9" x14ac:dyDescent="0.25">
      <c r="A242" s="434" t="s">
        <v>211</v>
      </c>
      <c r="B242" s="434" t="s">
        <v>165</v>
      </c>
      <c r="C242" s="434" t="s">
        <v>110</v>
      </c>
      <c r="D242" s="444" t="e">
        <f>NA()</f>
        <v>#N/A</v>
      </c>
      <c r="E242" s="444" t="e">
        <f>NA()</f>
        <v>#N/A</v>
      </c>
      <c r="F242" s="444" t="e">
        <f>NA()</f>
        <v>#N/A</v>
      </c>
      <c r="G242" s="444" t="e">
        <f>NA()</f>
        <v>#N/A</v>
      </c>
      <c r="H242" s="444" t="e">
        <f>NA()</f>
        <v>#N/A</v>
      </c>
      <c r="I242" s="449">
        <f t="shared" si="0"/>
        <v>1.4672727272727271</v>
      </c>
    </row>
    <row r="243" spans="1:9" x14ac:dyDescent="0.25">
      <c r="A243" s="434" t="s">
        <v>211</v>
      </c>
      <c r="B243" s="434" t="s">
        <v>159</v>
      </c>
      <c r="C243" s="434" t="s">
        <v>110</v>
      </c>
      <c r="D243" s="444" t="e">
        <f>NA()</f>
        <v>#N/A</v>
      </c>
      <c r="E243" s="444" t="e">
        <f>NA()</f>
        <v>#N/A</v>
      </c>
      <c r="F243" s="444" t="e">
        <f>NA()</f>
        <v>#N/A</v>
      </c>
      <c r="G243" s="444" t="e">
        <f>NA()</f>
        <v>#N/A</v>
      </c>
      <c r="H243" s="444" t="e">
        <f>NA()</f>
        <v>#N/A</v>
      </c>
      <c r="I243" s="449">
        <f t="shared" si="0"/>
        <v>1.4672727272727271</v>
      </c>
    </row>
    <row r="244" spans="1:9" x14ac:dyDescent="0.25">
      <c r="A244" s="434" t="s">
        <v>211</v>
      </c>
      <c r="B244" s="434" t="s">
        <v>161</v>
      </c>
      <c r="C244" s="434" t="s">
        <v>110</v>
      </c>
      <c r="D244" s="444" t="e">
        <f>NA()</f>
        <v>#N/A</v>
      </c>
      <c r="E244" s="444" t="e">
        <f>NA()</f>
        <v>#N/A</v>
      </c>
      <c r="F244" s="444" t="e">
        <f>NA()</f>
        <v>#N/A</v>
      </c>
      <c r="G244" s="444" t="e">
        <f>NA()</f>
        <v>#N/A</v>
      </c>
      <c r="H244" s="444" t="e">
        <f>NA()</f>
        <v>#N/A</v>
      </c>
      <c r="I244" s="449">
        <f t="shared" si="0"/>
        <v>1.4672727272727271</v>
      </c>
    </row>
    <row r="245" spans="1:9" x14ac:dyDescent="0.25">
      <c r="A245" s="434" t="s">
        <v>211</v>
      </c>
      <c r="B245" s="434" t="s">
        <v>162</v>
      </c>
      <c r="C245" s="434" t="s">
        <v>110</v>
      </c>
      <c r="D245" s="444" t="e">
        <f>NA()</f>
        <v>#N/A</v>
      </c>
      <c r="E245" s="444" t="e">
        <f>NA()</f>
        <v>#N/A</v>
      </c>
      <c r="F245" s="444" t="e">
        <f>NA()</f>
        <v>#N/A</v>
      </c>
      <c r="G245" s="444" t="e">
        <f>NA()</f>
        <v>#N/A</v>
      </c>
      <c r="H245" s="444" t="e">
        <f>NA()</f>
        <v>#N/A</v>
      </c>
      <c r="I245" s="449">
        <f t="shared" si="0"/>
        <v>1.4672727272727271</v>
      </c>
    </row>
    <row r="246" spans="1:9" x14ac:dyDescent="0.25">
      <c r="A246" s="434" t="s">
        <v>211</v>
      </c>
      <c r="B246" s="434" t="s">
        <v>167</v>
      </c>
      <c r="C246" s="434" t="s">
        <v>110</v>
      </c>
      <c r="D246" s="444" t="e">
        <f>NA()</f>
        <v>#N/A</v>
      </c>
      <c r="E246" s="444" t="e">
        <f>NA()</f>
        <v>#N/A</v>
      </c>
      <c r="F246" s="444" t="e">
        <f>NA()</f>
        <v>#N/A</v>
      </c>
      <c r="G246" s="444" t="e">
        <f>NA()</f>
        <v>#N/A</v>
      </c>
      <c r="H246" s="444" t="e">
        <f>NA()</f>
        <v>#N/A</v>
      </c>
      <c r="I246" s="449">
        <f t="shared" si="0"/>
        <v>1.4672727272727271</v>
      </c>
    </row>
    <row r="247" spans="1:9" x14ac:dyDescent="0.25">
      <c r="A247" s="434" t="s">
        <v>211</v>
      </c>
      <c r="B247" s="434" t="s">
        <v>168</v>
      </c>
      <c r="C247" s="434" t="s">
        <v>110</v>
      </c>
      <c r="D247" s="444" t="e">
        <f>NA()</f>
        <v>#N/A</v>
      </c>
      <c r="E247" s="444" t="e">
        <f>NA()</f>
        <v>#N/A</v>
      </c>
      <c r="F247" s="444" t="e">
        <f>NA()</f>
        <v>#N/A</v>
      </c>
      <c r="G247" s="444" t="e">
        <f>NA()</f>
        <v>#N/A</v>
      </c>
      <c r="H247" s="444" t="e">
        <f>NA()</f>
        <v>#N/A</v>
      </c>
      <c r="I247" s="449">
        <f t="shared" si="0"/>
        <v>1.4672727272727271</v>
      </c>
    </row>
    <row r="248" spans="1:9" x14ac:dyDescent="0.25">
      <c r="A248" s="434" t="s">
        <v>211</v>
      </c>
      <c r="B248" s="434" t="s">
        <v>112</v>
      </c>
      <c r="C248" s="434" t="s">
        <v>110</v>
      </c>
      <c r="D248" s="444" t="e">
        <f>NA()</f>
        <v>#N/A</v>
      </c>
      <c r="E248" s="444" t="e">
        <f>NA()</f>
        <v>#N/A</v>
      </c>
      <c r="F248" s="444" t="e">
        <f>NA()</f>
        <v>#N/A</v>
      </c>
      <c r="G248" s="444" t="e">
        <f>NA()</f>
        <v>#N/A</v>
      </c>
      <c r="H248" s="444" t="e">
        <f>NA()</f>
        <v>#N/A</v>
      </c>
      <c r="I248" s="449">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Q13" sqref="Q13"/>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62" customFormat="1" ht="28.5" customHeight="1" x14ac:dyDescent="0.2">
      <c r="A1" s="362" t="s">
        <v>534</v>
      </c>
      <c r="H1" s="451"/>
      <c r="I1" s="434"/>
    </row>
    <row r="2" spans="1:27" s="362" customFormat="1" ht="37.5" customHeight="1" x14ac:dyDescent="0.2">
      <c r="C2" s="624" t="s">
        <v>535</v>
      </c>
      <c r="D2" s="625"/>
      <c r="E2" s="625"/>
      <c r="F2" s="625"/>
      <c r="G2" s="625"/>
      <c r="H2" s="451"/>
      <c r="I2" s="434"/>
      <c r="J2" s="624" t="s">
        <v>536</v>
      </c>
      <c r="K2" s="625"/>
      <c r="L2" s="625"/>
      <c r="M2" s="625"/>
      <c r="N2" s="625"/>
      <c r="R2" s="626" t="s">
        <v>509</v>
      </c>
      <c r="S2" s="621"/>
    </row>
    <row r="3" spans="1:27" s="362" customFormat="1" ht="25.5" x14ac:dyDescent="0.2">
      <c r="A3" s="452" t="s">
        <v>537</v>
      </c>
      <c r="B3" s="453" t="s">
        <v>538</v>
      </c>
      <c r="C3" s="441" t="s">
        <v>521</v>
      </c>
      <c r="D3" s="222" t="s">
        <v>522</v>
      </c>
      <c r="E3" s="222" t="s">
        <v>523</v>
      </c>
      <c r="F3" s="222" t="s">
        <v>524</v>
      </c>
      <c r="G3" s="222" t="s">
        <v>525</v>
      </c>
      <c r="H3" s="454" t="s">
        <v>510</v>
      </c>
      <c r="I3" s="455"/>
      <c r="J3" s="441" t="s">
        <v>521</v>
      </c>
      <c r="K3" s="222" t="s">
        <v>522</v>
      </c>
      <c r="L3" s="222" t="s">
        <v>523</v>
      </c>
      <c r="M3" s="222" t="s">
        <v>524</v>
      </c>
      <c r="N3" s="222" t="s">
        <v>525</v>
      </c>
      <c r="O3" s="454" t="s">
        <v>510</v>
      </c>
      <c r="S3" s="454" t="s">
        <v>510</v>
      </c>
    </row>
    <row r="4" spans="1:27" s="362" customFormat="1" ht="18" customHeight="1" x14ac:dyDescent="0.25">
      <c r="A4" s="456" t="s">
        <v>175</v>
      </c>
      <c r="B4" t="s">
        <v>176</v>
      </c>
      <c r="C4" s="457">
        <f>IFERROR(
    SUMIFS('Custom HV &amp; WD'!D:D, 'Custom HV &amp; WD'!$B:$B, 'Generic HV &amp; WD'!$A4, 'Custom HV &amp; WD'!$C:$C, "Base")/COUNTIFS('Custom HV &amp; WD'!$B:$B, 'Generic HV &amp; WD'!$A4, 'Custom HV &amp; WD'!$C:$C, "Base"),
    J4
)</f>
        <v>1.1874649803890181E-2</v>
      </c>
      <c r="D4" s="457">
        <f>IFERROR(
    SUMIFS('Custom HV &amp; WD'!E:E, 'Custom HV &amp; WD'!$B:$B, 'Generic HV &amp; WD'!$A4, 'Custom HV &amp; WD'!$C:$C, "Base")/COUNTIFS('Custom HV &amp; WD'!$B:$B, 'Generic HV &amp; WD'!$A4, 'Custom HV &amp; WD'!$C:$C, "Base"),
    K4
)</f>
        <v>0.2873044508940466</v>
      </c>
      <c r="E4" s="457">
        <f>IFERROR(
    SUMIFS('Custom HV &amp; WD'!F:F, 'Custom HV &amp; WD'!$B:$B, 'Generic HV &amp; WD'!$A4, 'Custom HV &amp; WD'!$C:$C, "Base")/COUNTIFS('Custom HV &amp; WD'!$B:$B, 'Generic HV &amp; WD'!$A4, 'Custom HV &amp; WD'!$C:$C, "Base"),
    L4
)</f>
        <v>0.13495124456662677</v>
      </c>
      <c r="F4" s="457">
        <f>IFERROR(
    SUMIFS('Custom HV &amp; WD'!G:G, 'Custom HV &amp; WD'!$B:$B, 'Generic HV &amp; WD'!$A4, 'Custom HV &amp; WD'!$C:$C, "Base")/COUNTIFS('Custom HV &amp; WD'!$B:$B, 'Generic HV &amp; WD'!$A4, 'Custom HV &amp; WD'!$C:$C, "Base"),
    M4
)</f>
        <v>0.48704684710313606</v>
      </c>
      <c r="G4" s="457">
        <f>IFERROR(
    SUMIFS('Custom HV &amp; WD'!H:H, 'Custom HV &amp; WD'!$B:$B, 'Generic HV &amp; WD'!$A4, 'Custom HV &amp; WD'!$C:$C, "Base")/COUNTIFS('Custom HV &amp; WD'!$B:$B, 'Generic HV &amp; WD'!$A4, 'Custom HV &amp; WD'!$C:$C, "Base"),
    N4
)</f>
        <v>2.6439073982321266E-3</v>
      </c>
      <c r="H4" s="458">
        <v>3.13</v>
      </c>
      <c r="I4" s="447"/>
      <c r="J4" s="457">
        <v>2.1492047987506806E-2</v>
      </c>
      <c r="K4" s="457">
        <v>0.28006650300918062</v>
      </c>
      <c r="L4" s="457">
        <v>0.12329440138538973</v>
      </c>
      <c r="M4" s="457">
        <v>0.44243223961045497</v>
      </c>
      <c r="N4" s="457">
        <v>6.8052012362149724E-3</v>
      </c>
      <c r="O4" s="459">
        <v>4.3599999999999994</v>
      </c>
      <c r="R4" s="460" t="s">
        <v>172</v>
      </c>
      <c r="S4" s="461">
        <v>2.73</v>
      </c>
      <c r="AA4" s="362" t="s">
        <v>539</v>
      </c>
    </row>
    <row r="5" spans="1:27" s="362" customFormat="1" ht="18" customHeight="1" x14ac:dyDescent="0.25">
      <c r="A5" s="456" t="s">
        <v>185</v>
      </c>
      <c r="B5" t="s">
        <v>186</v>
      </c>
      <c r="C5" s="457">
        <f>IFERROR(
    SUMIFS('Custom HV &amp; WD'!D:D, 'Custom HV &amp; WD'!$B:$B, 'Generic HV &amp; WD'!$A5, 'Custom HV &amp; WD'!$C:$C, "Base")/COUNTIFS('Custom HV &amp; WD'!$B:$B, 'Generic HV &amp; WD'!$A5, 'Custom HV &amp; WD'!$C:$C, "Base"),
    J5
)</f>
        <v>0.16832772343196775</v>
      </c>
      <c r="D5" s="457">
        <f>IFERROR(
    SUMIFS('Custom HV &amp; WD'!E:E, 'Custom HV &amp; WD'!$B:$B, 'Generic HV &amp; WD'!$A5, 'Custom HV &amp; WD'!$C:$C, "Base")/COUNTIFS('Custom HV &amp; WD'!$B:$B, 'Generic HV &amp; WD'!$A5, 'Custom HV &amp; WD'!$C:$C, "Base"),
    K5
)</f>
        <v>5.3258080813560274E-2</v>
      </c>
      <c r="E5" s="457">
        <f>IFERROR(
    SUMIFS('Custom HV &amp; WD'!F:F, 'Custom HV &amp; WD'!$B:$B, 'Generic HV &amp; WD'!$A5, 'Custom HV &amp; WD'!$C:$C, "Base")/COUNTIFS('Custom HV &amp; WD'!$B:$B, 'Generic HV &amp; WD'!$A5, 'Custom HV &amp; WD'!$C:$C, "Base"),
    L5
)</f>
        <v>2.1259912350245453E-2</v>
      </c>
      <c r="F5" s="457">
        <f>IFERROR(
    SUMIFS('Custom HV &amp; WD'!G:G, 'Custom HV &amp; WD'!$B:$B, 'Generic HV &amp; WD'!$A5, 'Custom HV &amp; WD'!$C:$C, "Base")/COUNTIFS('Custom HV &amp; WD'!$B:$B, 'Generic HV &amp; WD'!$A5, 'Custom HV &amp; WD'!$C:$C, "Base"),
    M5
)</f>
        <v>0.23564243261872514</v>
      </c>
      <c r="G5" s="457">
        <f>IFERROR(
    SUMIFS('Custom HV &amp; WD'!H:H, 'Custom HV &amp; WD'!$B:$B, 'Generic HV &amp; WD'!$A5, 'Custom HV &amp; WD'!$C:$C, "Base")/COUNTIFS('Custom HV &amp; WD'!$B:$B, 'Generic HV &amp; WD'!$A5, 'Custom HV &amp; WD'!$C:$C, "Base"),
    N5
)</f>
        <v>0.36190464954547247</v>
      </c>
      <c r="H5" s="458">
        <v>1.01</v>
      </c>
      <c r="I5" s="447"/>
      <c r="J5" s="457">
        <v>0.16832772343196775</v>
      </c>
      <c r="K5" s="457">
        <v>5.3258080813560274E-2</v>
      </c>
      <c r="L5" s="457">
        <v>2.1259912350245453E-2</v>
      </c>
      <c r="M5" s="457">
        <v>0.23564243261872514</v>
      </c>
      <c r="N5" s="457">
        <v>0.36190464954547247</v>
      </c>
      <c r="O5" s="459">
        <v>1.35</v>
      </c>
      <c r="R5" s="460" t="s">
        <v>121</v>
      </c>
      <c r="S5" s="461">
        <v>2.68</v>
      </c>
      <c r="AA5" s="362" t="s">
        <v>540</v>
      </c>
    </row>
    <row r="6" spans="1:27" s="362" customFormat="1" ht="18" customHeight="1" x14ac:dyDescent="0.25">
      <c r="A6" s="456" t="s">
        <v>188</v>
      </c>
      <c r="B6" t="s">
        <v>189</v>
      </c>
      <c r="C6" s="457">
        <f>IFERROR(
    SUMIFS('Custom HV &amp; WD'!D:D, 'Custom HV &amp; WD'!$B:$B, 'Generic HV &amp; WD'!$A6, 'Custom HV &amp; WD'!$C:$C, "Base")/COUNTIFS('Custom HV &amp; WD'!$B:$B, 'Generic HV &amp; WD'!$A6, 'Custom HV &amp; WD'!$C:$C, "Base"),
    J6
)</f>
        <v>0</v>
      </c>
      <c r="D6" s="457">
        <f>IFERROR(
    SUMIFS('Custom HV &amp; WD'!E:E, 'Custom HV &amp; WD'!$B:$B, 'Generic HV &amp; WD'!$A6, 'Custom HV &amp; WD'!$C:$C, "Base")/COUNTIFS('Custom HV &amp; WD'!$B:$B, 'Generic HV &amp; WD'!$A6, 'Custom HV &amp; WD'!$C:$C, "Base"),
    K6
)</f>
        <v>4.3718592964824124E-2</v>
      </c>
      <c r="E6" s="457">
        <f>IFERROR(
    SUMIFS('Custom HV &amp; WD'!F:F, 'Custom HV &amp; WD'!$B:$B, 'Generic HV &amp; WD'!$A6, 'Custom HV &amp; WD'!$C:$C, "Base")/COUNTIFS('Custom HV &amp; WD'!$B:$B, 'Generic HV &amp; WD'!$A6, 'Custom HV &amp; WD'!$C:$C, "Base"),
    L6
)</f>
        <v>9.0954773869346736E-2</v>
      </c>
      <c r="F6" s="457">
        <f>IFERROR(
    SUMIFS('Custom HV &amp; WD'!G:G, 'Custom HV &amp; WD'!$B:$B, 'Generic HV &amp; WD'!$A6, 'Custom HV &amp; WD'!$C:$C, "Base")/COUNTIFS('Custom HV &amp; WD'!$B:$B, 'Generic HV &amp; WD'!$A6, 'Custom HV &amp; WD'!$C:$C, "Base"),
    M6
)</f>
        <v>0.29798994974874371</v>
      </c>
      <c r="G6" s="457">
        <f>IFERROR(
    SUMIFS('Custom HV &amp; WD'!H:H, 'Custom HV &amp; WD'!$B:$B, 'Generic HV &amp; WD'!$A6, 'Custom HV &amp; WD'!$C:$C, "Base")/COUNTIFS('Custom HV &amp; WD'!$B:$B, 'Generic HV &amp; WD'!$A6, 'Custom HV &amp; WD'!$C:$C, "Base"),
    N6
)</f>
        <v>0</v>
      </c>
      <c r="H6" s="458">
        <v>3.18</v>
      </c>
      <c r="I6" s="447"/>
      <c r="J6" s="457">
        <v>1.9221628045157455E-2</v>
      </c>
      <c r="K6" s="457">
        <v>2.2221753801843085E-2</v>
      </c>
      <c r="L6" s="457">
        <v>3.0318257956448911E-2</v>
      </c>
      <c r="M6" s="457">
        <v>0.12469722336474276</v>
      </c>
      <c r="N6" s="457">
        <v>1.7646020822304571E-4</v>
      </c>
      <c r="O6" s="459">
        <v>1.49</v>
      </c>
      <c r="R6" s="460" t="s">
        <v>511</v>
      </c>
      <c r="S6" s="461">
        <v>1.01</v>
      </c>
    </row>
    <row r="7" spans="1:27" s="362" customFormat="1" ht="18" customHeight="1" x14ac:dyDescent="0.25">
      <c r="A7" s="456" t="s">
        <v>150</v>
      </c>
      <c r="B7" t="s">
        <v>541</v>
      </c>
      <c r="C7" s="457">
        <f>IFERROR(
    SUMIFS('Custom HV &amp; WD'!D:D, 'Custom HV &amp; WD'!$B:$B, 'Generic HV &amp; WD'!$A7, 'Custom HV &amp; WD'!$C:$C, "Base")/COUNTIFS('Custom HV &amp; WD'!$B:$B, 'Generic HV &amp; WD'!$A7, 'Custom HV &amp; WD'!$C:$C, "Base"),
    J7
)</f>
        <v>0.20115510858364183</v>
      </c>
      <c r="D7" s="457">
        <f>IFERROR(
    SUMIFS('Custom HV &amp; WD'!E:E, 'Custom HV &amp; WD'!$B:$B, 'Generic HV &amp; WD'!$A7, 'Custom HV &amp; WD'!$C:$C, "Base")/COUNTIFS('Custom HV &amp; WD'!$B:$B, 'Generic HV &amp; WD'!$A7, 'Custom HV &amp; WD'!$C:$C, "Base"),
    K7
)</f>
        <v>5.9680928208846989E-2</v>
      </c>
      <c r="E7" s="457">
        <f>IFERROR(
    SUMIFS('Custom HV &amp; WD'!F:F, 'Custom HV &amp; WD'!$B:$B, 'Generic HV &amp; WD'!$A7, 'Custom HV &amp; WD'!$C:$C, "Base")/COUNTIFS('Custom HV &amp; WD'!$B:$B, 'Generic HV &amp; WD'!$A7, 'Custom HV &amp; WD'!$C:$C, "Base"),
    L7
)</f>
        <v>0</v>
      </c>
      <c r="F7" s="457">
        <f>IFERROR(
    SUMIFS('Custom HV &amp; WD'!G:G, 'Custom HV &amp; WD'!$B:$B, 'Generic HV &amp; WD'!$A7, 'Custom HV &amp; WD'!$C:$C, "Base")/COUNTIFS('Custom HV &amp; WD'!$B:$B, 'Generic HV &amp; WD'!$A7, 'Custom HV &amp; WD'!$C:$C, "Base"),
    M7
)</f>
        <v>6.1309682836532958E-2</v>
      </c>
      <c r="G7" s="457">
        <f>IFERROR(
    SUMIFS('Custom HV &amp; WD'!H:H, 'Custom HV &amp; WD'!$B:$B, 'Generic HV &amp; WD'!$A7, 'Custom HV &amp; WD'!$C:$C, "Base")/COUNTIFS('Custom HV &amp; WD'!$B:$B, 'Generic HV &amp; WD'!$A7, 'Custom HV &amp; WD'!$C:$C, "Base"),
    N7
)</f>
        <v>2.0247318804625779E-3</v>
      </c>
      <c r="H7" s="459">
        <v>0.72</v>
      </c>
      <c r="I7" s="447"/>
      <c r="J7" s="457">
        <v>0.20115510858364183</v>
      </c>
      <c r="K7" s="457">
        <v>5.9680928208846989E-2</v>
      </c>
      <c r="L7" s="457">
        <v>0</v>
      </c>
      <c r="M7" s="457">
        <v>6.1309682836532958E-2</v>
      </c>
      <c r="N7" s="457">
        <v>2.0247318804625779E-3</v>
      </c>
      <c r="O7" s="459">
        <v>0.72</v>
      </c>
      <c r="R7" s="460" t="s">
        <v>512</v>
      </c>
      <c r="S7" s="432">
        <v>2.65</v>
      </c>
      <c r="T7" s="521" t="s">
        <v>654</v>
      </c>
    </row>
    <row r="8" spans="1:27" s="362" customFormat="1" ht="18" customHeight="1" x14ac:dyDescent="0.25">
      <c r="A8" s="456" t="s">
        <v>171</v>
      </c>
      <c r="B8" t="s">
        <v>172</v>
      </c>
      <c r="C8" s="457">
        <f>IFERROR(
    SUMIFS('Custom HV &amp; WD'!D:D, 'Custom HV &amp; WD'!$B:$B, 'Generic HV &amp; WD'!$A8, 'Custom HV &amp; WD'!$C:$C, "Base")/COUNTIFS('Custom HV &amp; WD'!$B:$B, 'Generic HV &amp; WD'!$A8, 'Custom HV &amp; WD'!$C:$C, "Base"),
    J8
)</f>
        <v>4.3991620752888774E-2</v>
      </c>
      <c r="D8" s="457">
        <f>IFERROR(
    SUMIFS('Custom HV &amp; WD'!E:E, 'Custom HV &amp; WD'!$B:$B, 'Generic HV &amp; WD'!$A8, 'Custom HV &amp; WD'!$C:$C, "Base")/COUNTIFS('Custom HV &amp; WD'!$B:$B, 'Generic HV &amp; WD'!$A8, 'Custom HV &amp; WD'!$C:$C, "Base"),
    K8
)</f>
        <v>0.19211635718736295</v>
      </c>
      <c r="E8" s="457">
        <f>IFERROR(
    SUMIFS('Custom HV &amp; WD'!F:F, 'Custom HV &amp; WD'!$B:$B, 'Generic HV &amp; WD'!$A8, 'Custom HV &amp; WD'!$C:$C, "Base")/COUNTIFS('Custom HV &amp; WD'!$B:$B, 'Generic HV &amp; WD'!$A8, 'Custom HV &amp; WD'!$C:$C, "Base"),
    L8
)</f>
        <v>0.22295604082387882</v>
      </c>
      <c r="F8" s="457">
        <f>IFERROR(
    SUMIFS('Custom HV &amp; WD'!G:G, 'Custom HV &amp; WD'!$B:$B, 'Generic HV &amp; WD'!$A8, 'Custom HV &amp; WD'!$C:$C, "Base")/COUNTIFS('Custom HV &amp; WD'!$B:$B, 'Generic HV &amp; WD'!$A8, 'Custom HV &amp; WD'!$C:$C, "Base"),
    M8
)</f>
        <v>0.41747023102518466</v>
      </c>
      <c r="G8" s="457">
        <f>IFERROR(
    SUMIFS('Custom HV &amp; WD'!H:H, 'Custom HV &amp; WD'!$B:$B, 'Generic HV &amp; WD'!$A8, 'Custom HV &amp; WD'!$C:$C, "Base")/COUNTIFS('Custom HV &amp; WD'!$B:$B, 'Generic HV &amp; WD'!$A8, 'Custom HV &amp; WD'!$C:$C, "Base"),
    N8
)</f>
        <v>2.3832664417619592E-2</v>
      </c>
      <c r="H8" s="458">
        <v>2.73</v>
      </c>
      <c r="I8" s="447"/>
      <c r="J8" s="457">
        <v>2.4812420178799487E-2</v>
      </c>
      <c r="K8" s="457">
        <v>0.18416325299178959</v>
      </c>
      <c r="L8" s="457">
        <v>0.23831196877328026</v>
      </c>
      <c r="M8" s="457">
        <v>0.43011898699446194</v>
      </c>
      <c r="N8" s="457">
        <v>8.6280155772984462E-3</v>
      </c>
      <c r="O8" s="459">
        <v>3.5100000000000002</v>
      </c>
      <c r="R8" s="460" t="s">
        <v>513</v>
      </c>
      <c r="S8" s="461">
        <v>3.13</v>
      </c>
      <c r="T8" s="362" t="s">
        <v>514</v>
      </c>
    </row>
    <row r="9" spans="1:27" s="362" customFormat="1" ht="18" customHeight="1" x14ac:dyDescent="0.25">
      <c r="A9" s="456" t="s">
        <v>137</v>
      </c>
      <c r="B9" t="s">
        <v>542</v>
      </c>
      <c r="C9" s="457">
        <f>IFERROR(
    SUMIFS('Custom HV &amp; WD'!D:D, 'Custom HV &amp; WD'!$B:$B, 'Generic HV &amp; WD'!$A9, 'Custom HV &amp; WD'!$C:$C, "Base")/COUNTIFS('Custom HV &amp; WD'!$B:$B, 'Generic HV &amp; WD'!$A9, 'Custom HV &amp; WD'!$C:$C, "Base"),
    J9
)</f>
        <v>0</v>
      </c>
      <c r="D9" s="457">
        <f>IFERROR(
    SUMIFS('Custom HV &amp; WD'!E:E, 'Custom HV &amp; WD'!$B:$B, 'Generic HV &amp; WD'!$A9, 'Custom HV &amp; WD'!$C:$C, "Base")/COUNTIFS('Custom HV &amp; WD'!$B:$B, 'Generic HV &amp; WD'!$A9, 'Custom HV &amp; WD'!$C:$C, "Base"),
    K9
)</f>
        <v>4.1542499999999996E-2</v>
      </c>
      <c r="E9" s="457">
        <f>IFERROR(
    SUMIFS('Custom HV &amp; WD'!F:F, 'Custom HV &amp; WD'!$B:$B, 'Generic HV &amp; WD'!$A9, 'Custom HV &amp; WD'!$C:$C, "Base")/COUNTIFS('Custom HV &amp; WD'!$B:$B, 'Generic HV &amp; WD'!$A9, 'Custom HV &amp; WD'!$C:$C, "Base"),
    L9
)</f>
        <v>0.12905957731130205</v>
      </c>
      <c r="F9" s="457">
        <f>IFERROR(
    SUMIFS('Custom HV &amp; WD'!G:G, 'Custom HV &amp; WD'!$B:$B, 'Generic HV &amp; WD'!$A9, 'Custom HV &amp; WD'!$C:$C, "Base")/COUNTIFS('Custom HV &amp; WD'!$B:$B, 'Generic HV &amp; WD'!$A9, 'Custom HV &amp; WD'!$C:$C, "Base"),
    M9
)</f>
        <v>0.30120590963658067</v>
      </c>
      <c r="G9" s="457">
        <f>IFERROR(
    SUMIFS('Custom HV &amp; WD'!H:H, 'Custom HV &amp; WD'!$B:$B, 'Generic HV &amp; WD'!$A9, 'Custom HV &amp; WD'!$C:$C, "Base")/COUNTIFS('Custom HV &amp; WD'!$B:$B, 'Generic HV &amp; WD'!$A9, 'Custom HV &amp; WD'!$C:$C, "Base"),
    N9
)</f>
        <v>0</v>
      </c>
      <c r="H9" s="459">
        <v>0.98</v>
      </c>
      <c r="I9" s="447"/>
      <c r="J9" s="462">
        <v>0</v>
      </c>
      <c r="K9" s="462">
        <v>4.1542499999999996E-2</v>
      </c>
      <c r="L9" s="462">
        <v>0.12905957731130205</v>
      </c>
      <c r="M9" s="462">
        <v>0.30120590963658067</v>
      </c>
      <c r="N9" s="462">
        <v>0</v>
      </c>
      <c r="O9" s="459">
        <v>0.98</v>
      </c>
      <c r="R9" s="460" t="s">
        <v>515</v>
      </c>
      <c r="S9" s="461">
        <v>3.86</v>
      </c>
    </row>
    <row r="10" spans="1:27" s="362" customFormat="1" ht="18" customHeight="1" x14ac:dyDescent="0.25">
      <c r="A10" s="456" t="s">
        <v>140</v>
      </c>
      <c r="B10" t="s">
        <v>543</v>
      </c>
      <c r="C10" s="457">
        <f>IFERROR(
    SUMIFS('Custom HV &amp; WD'!D:D, 'Custom HV &amp; WD'!$B:$B, 'Generic HV &amp; WD'!$A10, 'Custom HV &amp; WD'!$C:$C, "Base")/COUNTIFS('Custom HV &amp; WD'!$B:$B, 'Generic HV &amp; WD'!$A10, 'Custom HV &amp; WD'!$C:$C, "Base"),
    J10
)</f>
        <v>0</v>
      </c>
      <c r="D10" s="457">
        <f>IFERROR(
    SUMIFS('Custom HV &amp; WD'!E:E, 'Custom HV &amp; WD'!$B:$B, 'Generic HV &amp; WD'!$A10, 'Custom HV &amp; WD'!$C:$C, "Base")/COUNTIFS('Custom HV &amp; WD'!$B:$B, 'Generic HV &amp; WD'!$A10, 'Custom HV &amp; WD'!$C:$C, "Base"),
    K10
)</f>
        <v>4.7750000000000001E-2</v>
      </c>
      <c r="E10" s="457">
        <f>IFERROR(
    SUMIFS('Custom HV &amp; WD'!F:F, 'Custom HV &amp; WD'!$B:$B, 'Generic HV &amp; WD'!$A10, 'Custom HV &amp; WD'!$C:$C, "Base")/COUNTIFS('Custom HV &amp; WD'!$B:$B, 'Generic HV &amp; WD'!$A10, 'Custom HV &amp; WD'!$C:$C, "Base"),
    L10
)</f>
        <v>0.23384066538248741</v>
      </c>
      <c r="F10" s="457">
        <f>IFERROR(
    SUMIFS('Custom HV &amp; WD'!G:G, 'Custom HV &amp; WD'!$B:$B, 'Generic HV &amp; WD'!$A10, 'Custom HV &amp; WD'!$C:$C, "Base")/COUNTIFS('Custom HV &amp; WD'!$B:$B, 'Generic HV &amp; WD'!$A10, 'Custom HV &amp; WD'!$C:$C, "Base"),
    M10
)</f>
        <v>0.33139855159611065</v>
      </c>
      <c r="G10" s="457">
        <f>IFERROR(
    SUMIFS('Custom HV &amp; WD'!H:H, 'Custom HV &amp; WD'!$B:$B, 'Generic HV &amp; WD'!$A10, 'Custom HV &amp; WD'!$C:$C, "Base")/COUNTIFS('Custom HV &amp; WD'!$B:$B, 'Generic HV &amp; WD'!$A10, 'Custom HV &amp; WD'!$C:$C, "Base"),
    N10
)</f>
        <v>0</v>
      </c>
      <c r="H10" s="459">
        <v>1.51</v>
      </c>
      <c r="I10" s="447"/>
      <c r="J10" s="462">
        <v>0</v>
      </c>
      <c r="K10" s="462">
        <v>4.7750000000000001E-2</v>
      </c>
      <c r="L10" s="462">
        <v>0.23384066538248741</v>
      </c>
      <c r="M10" s="462">
        <v>0.33139855159611065</v>
      </c>
      <c r="N10" s="462">
        <v>0</v>
      </c>
      <c r="O10" s="459">
        <v>1.51</v>
      </c>
      <c r="R10" s="460" t="s">
        <v>516</v>
      </c>
      <c r="S10" s="461">
        <v>5.38</v>
      </c>
      <c r="T10" s="362" t="s">
        <v>517</v>
      </c>
    </row>
    <row r="11" spans="1:27" s="362" customFormat="1" ht="18" customHeight="1" x14ac:dyDescent="0.25">
      <c r="A11" s="456" t="s">
        <v>130</v>
      </c>
      <c r="B11" t="s">
        <v>544</v>
      </c>
      <c r="C11" s="457">
        <f>IFERROR(
    SUMIFS('Custom HV &amp; WD'!D:D, 'Custom HV &amp; WD'!$B:$B, 'Generic HV &amp; WD'!$A11, 'Custom HV &amp; WD'!$C:$C, "Base")/COUNTIFS('Custom HV &amp; WD'!$B:$B, 'Generic HV &amp; WD'!$A11, 'Custom HV &amp; WD'!$C:$C, "Base"),
    J11
)</f>
        <v>0</v>
      </c>
      <c r="D11" s="457">
        <f>IFERROR(
    SUMIFS('Custom HV &amp; WD'!E:E, 'Custom HV &amp; WD'!$B:$B, 'Generic HV &amp; WD'!$A11, 'Custom HV &amp; WD'!$C:$C, "Base")/COUNTIFS('Custom HV &amp; WD'!$B:$B, 'Generic HV &amp; WD'!$A11, 'Custom HV &amp; WD'!$C:$C, "Base"),
    K11
)</f>
        <v>4.1542499999999996E-2</v>
      </c>
      <c r="E11" s="457">
        <f>IFERROR(
    SUMIFS('Custom HV &amp; WD'!F:F, 'Custom HV &amp; WD'!$B:$B, 'Generic HV &amp; WD'!$A11, 'Custom HV &amp; WD'!$C:$C, "Base")/COUNTIFS('Custom HV &amp; WD'!$B:$B, 'Generic HV &amp; WD'!$A11, 'Custom HV &amp; WD'!$C:$C, "Base"),
    L11
)</f>
        <v>0.12905957731130205</v>
      </c>
      <c r="F11" s="457">
        <f>IFERROR(
    SUMIFS('Custom HV &amp; WD'!G:G, 'Custom HV &amp; WD'!$B:$B, 'Generic HV &amp; WD'!$A11, 'Custom HV &amp; WD'!$C:$C, "Base")/COUNTIFS('Custom HV &amp; WD'!$B:$B, 'Generic HV &amp; WD'!$A11, 'Custom HV &amp; WD'!$C:$C, "Base"),
    M11
)</f>
        <v>0.30120590963658067</v>
      </c>
      <c r="G11" s="457">
        <f>IFERROR(
    SUMIFS('Custom HV &amp; WD'!H:H, 'Custom HV &amp; WD'!$B:$B, 'Generic HV &amp; WD'!$A11, 'Custom HV &amp; WD'!$C:$C, "Base")/COUNTIFS('Custom HV &amp; WD'!$B:$B, 'Generic HV &amp; WD'!$A11, 'Custom HV &amp; WD'!$C:$C, "Base"),
    N11
)</f>
        <v>0</v>
      </c>
      <c r="H11" s="459">
        <v>1.07</v>
      </c>
      <c r="I11" s="447"/>
      <c r="J11" s="462">
        <v>0</v>
      </c>
      <c r="K11" s="462">
        <v>4.1542499999999996E-2</v>
      </c>
      <c r="L11" s="462">
        <v>0.12905957731130205</v>
      </c>
      <c r="M11" s="462">
        <v>0.30120590963658067</v>
      </c>
      <c r="N11" s="462">
        <v>0</v>
      </c>
      <c r="O11" s="459">
        <v>1.07</v>
      </c>
    </row>
    <row r="12" spans="1:27" s="362" customFormat="1" ht="18" customHeight="1" x14ac:dyDescent="0.25">
      <c r="A12" s="456" t="s">
        <v>126</v>
      </c>
      <c r="B12" t="s">
        <v>545</v>
      </c>
      <c r="C12" s="457">
        <f>IFERROR(
    SUMIFS('Custom HV &amp; WD'!D:D, 'Custom HV &amp; WD'!$B:$B, 'Generic HV &amp; WD'!$A12, 'Custom HV &amp; WD'!$C:$C, "Base")/COUNTIFS('Custom HV &amp; WD'!$B:$B, 'Generic HV &amp; WD'!$A12, 'Custom HV &amp; WD'!$C:$C, "Base"),
    J12
)</f>
        <v>0.53250740216149872</v>
      </c>
      <c r="D12" s="457">
        <f>IFERROR(
    SUMIFS('Custom HV &amp; WD'!E:E, 'Custom HV &amp; WD'!$B:$B, 'Generic HV &amp; WD'!$A12, 'Custom HV &amp; WD'!$C:$C, "Base")/COUNTIFS('Custom HV &amp; WD'!$B:$B, 'Generic HV &amp; WD'!$A12, 'Custom HV &amp; WD'!$C:$C, "Base"),
    K12
)</f>
        <v>0.61029166666666668</v>
      </c>
      <c r="E12" s="457">
        <f>IFERROR(
    SUMIFS('Custom HV &amp; WD'!F:F, 'Custom HV &amp; WD'!$B:$B, 'Generic HV &amp; WD'!$A12, 'Custom HV &amp; WD'!$C:$C, "Base")/COUNTIFS('Custom HV &amp; WD'!$B:$B, 'Generic HV &amp; WD'!$A12, 'Custom HV &amp; WD'!$C:$C, "Base"),
    L12
)</f>
        <v>0.11520097001162803</v>
      </c>
      <c r="F12" s="457">
        <f>IFERROR(
    SUMIFS('Custom HV &amp; WD'!G:G, 'Custom HV &amp; WD'!$B:$B, 'Generic HV &amp; WD'!$A12, 'Custom HV &amp; WD'!$C:$C, "Base")/COUNTIFS('Custom HV &amp; WD'!$B:$B, 'Generic HV &amp; WD'!$A12, 'Custom HV &amp; WD'!$C:$C, "Base"),
    M12
)</f>
        <v>0.47706131681367753</v>
      </c>
      <c r="G12" s="457">
        <f>IFERROR(
    SUMIFS('Custom HV &amp; WD'!H:H, 'Custom HV &amp; WD'!$B:$B, 'Generic HV &amp; WD'!$A12, 'Custom HV &amp; WD'!$C:$C, "Base")/COUNTIFS('Custom HV &amp; WD'!$B:$B, 'Generic HV &amp; WD'!$A12, 'Custom HV &amp; WD'!$C:$C, "Base"),
    N12
)</f>
        <v>0</v>
      </c>
      <c r="H12" s="461">
        <v>3.86</v>
      </c>
      <c r="I12" s="447"/>
      <c r="J12" s="463">
        <v>0.53250740216149872</v>
      </c>
      <c r="K12" s="463">
        <v>0.61029166666666668</v>
      </c>
      <c r="L12" s="463">
        <v>0.11520097001162803</v>
      </c>
      <c r="M12" s="463">
        <v>0.47706131681367753</v>
      </c>
      <c r="N12" s="463">
        <v>0</v>
      </c>
      <c r="O12" s="459">
        <v>4.0999999999999996</v>
      </c>
    </row>
    <row r="13" spans="1:27" s="362" customFormat="1" ht="18" customHeight="1" x14ac:dyDescent="0.25">
      <c r="A13" s="456" t="s">
        <v>163</v>
      </c>
      <c r="B13" t="s">
        <v>546</v>
      </c>
      <c r="C13" s="457">
        <f>IFERROR(
    SUMIFS('Custom HV &amp; WD'!D:D, 'Custom HV &amp; WD'!$B:$B, 'Generic HV &amp; WD'!$A13, 'Custom HV &amp; WD'!$C:$C, "Base")/COUNTIFS('Custom HV &amp; WD'!$B:$B, 'Generic HV &amp; WD'!$A13, 'Custom HV &amp; WD'!$C:$C, "Base"),
    J13
)</f>
        <v>0</v>
      </c>
      <c r="D13" s="457">
        <f>IFERROR(
    SUMIFS('Custom HV &amp; WD'!E:E, 'Custom HV &amp; WD'!$B:$B, 'Generic HV &amp; WD'!$A13, 'Custom HV &amp; WD'!$C:$C, "Base")/COUNTIFS('Custom HV &amp; WD'!$B:$B, 'Generic HV &amp; WD'!$A13, 'Custom HV &amp; WD'!$C:$C, "Base"),
    K13
)</f>
        <v>0.75500000000000012</v>
      </c>
      <c r="E13" s="457">
        <f>IFERROR(
    SUMIFS('Custom HV &amp; WD'!F:F, 'Custom HV &amp; WD'!$B:$B, 'Generic HV &amp; WD'!$A13, 'Custom HV &amp; WD'!$C:$C, "Base")/COUNTIFS('Custom HV &amp; WD'!$B:$B, 'Generic HV &amp; WD'!$A13, 'Custom HV &amp; WD'!$C:$C, "Base"),
    L13
)</f>
        <v>0.14514412708595817</v>
      </c>
      <c r="F13" s="457">
        <f>IFERROR(
    SUMIFS('Custom HV &amp; WD'!G:G, 'Custom HV &amp; WD'!$B:$B, 'Generic HV &amp; WD'!$A13, 'Custom HV &amp; WD'!$C:$C, "Base")/COUNTIFS('Custom HV &amp; WD'!$B:$B, 'Generic HV &amp; WD'!$A13, 'Custom HV &amp; WD'!$C:$C, "Base"),
    M13
)</f>
        <v>0.57019733426244634</v>
      </c>
      <c r="G13" s="457">
        <f>IFERROR(
    SUMIFS('Custom HV &amp; WD'!H:H, 'Custom HV &amp; WD'!$B:$B, 'Generic HV &amp; WD'!$A13, 'Custom HV &amp; WD'!$C:$C, "Base")/COUNTIFS('Custom HV &amp; WD'!$B:$B, 'Generic HV &amp; WD'!$A13, 'Custom HV &amp; WD'!$C:$C, "Base"),
    N13
)</f>
        <v>0</v>
      </c>
      <c r="H13" s="461">
        <v>3.86</v>
      </c>
      <c r="I13" s="447"/>
      <c r="J13" s="463">
        <v>0</v>
      </c>
      <c r="K13" s="463">
        <v>0.75500000000000012</v>
      </c>
      <c r="L13" s="463">
        <v>0.14514412708595817</v>
      </c>
      <c r="M13" s="463">
        <v>0.57019733426244634</v>
      </c>
      <c r="N13" s="463">
        <v>0</v>
      </c>
      <c r="O13" s="459">
        <v>4.7099999999999991</v>
      </c>
    </row>
    <row r="14" spans="1:27" s="362" customFormat="1" ht="18" customHeight="1" x14ac:dyDescent="0.25">
      <c r="A14" s="456" t="s">
        <v>177</v>
      </c>
      <c r="B14" t="s">
        <v>178</v>
      </c>
      <c r="C14" s="457">
        <f>IFERROR(
    SUMIFS('Custom HV &amp; WD'!D:D, 'Custom HV &amp; WD'!$B:$B, 'Generic HV &amp; WD'!$A14, 'Custom HV &amp; WD'!$C:$C, "Base")/COUNTIFS('Custom HV &amp; WD'!$B:$B, 'Generic HV &amp; WD'!$A14, 'Custom HV &amp; WD'!$C:$C, "Base"),
    J14
)</f>
        <v>0</v>
      </c>
      <c r="D14" s="457">
        <f>IFERROR(
    SUMIFS('Custom HV &amp; WD'!E:E, 'Custom HV &amp; WD'!$B:$B, 'Generic HV &amp; WD'!$A14, 'Custom HV &amp; WD'!$C:$C, "Base")/COUNTIFS('Custom HV &amp; WD'!$B:$B, 'Generic HV &amp; WD'!$A14, 'Custom HV &amp; WD'!$C:$C, "Base"),
    K14
)</f>
        <v>0.26999999999999996</v>
      </c>
      <c r="E14" s="457">
        <f>IFERROR(
    SUMIFS('Custom HV &amp; WD'!F:F, 'Custom HV &amp; WD'!$B:$B, 'Generic HV &amp; WD'!$A14, 'Custom HV &amp; WD'!$C:$C, "Base")/COUNTIFS('Custom HV &amp; WD'!$B:$B, 'Generic HV &amp; WD'!$A14, 'Custom HV &amp; WD'!$C:$C, "Base"),
    L14
)</f>
        <v>0.53908469164528727</v>
      </c>
      <c r="F14" s="457">
        <f>IFERROR(
    SUMIFS('Custom HV &amp; WD'!G:G, 'Custom HV &amp; WD'!$B:$B, 'Generic HV &amp; WD'!$A14, 'Custom HV &amp; WD'!$C:$C, "Base")/COUNTIFS('Custom HV &amp; WD'!$B:$B, 'Generic HV &amp; WD'!$A14, 'Custom HV &amp; WD'!$C:$C, "Base"),
    M14
)</f>
        <v>0.56124860801609122</v>
      </c>
      <c r="G14" s="457">
        <f>IFERROR(
    SUMIFS('Custom HV &amp; WD'!H:H, 'Custom HV &amp; WD'!$B:$B, 'Generic HV &amp; WD'!$A14, 'Custom HV &amp; WD'!$C:$C, "Base")/COUNTIFS('Custom HV &amp; WD'!$B:$B, 'Generic HV &amp; WD'!$A14, 'Custom HV &amp; WD'!$C:$C, "Base"),
    N14
)</f>
        <v>0</v>
      </c>
      <c r="H14" s="461">
        <v>3.86</v>
      </c>
      <c r="I14" s="447"/>
      <c r="J14" s="463">
        <v>0</v>
      </c>
      <c r="K14" s="463">
        <v>0.26999999999999996</v>
      </c>
      <c r="L14" s="463">
        <v>0.53908469164528727</v>
      </c>
      <c r="M14" s="463">
        <v>0.56124860801609122</v>
      </c>
      <c r="N14" s="463">
        <v>0</v>
      </c>
      <c r="O14" s="459">
        <v>3.46</v>
      </c>
    </row>
    <row r="15" spans="1:27" s="362" customFormat="1" ht="18" customHeight="1" x14ac:dyDescent="0.25">
      <c r="A15" s="456" t="s">
        <v>179</v>
      </c>
      <c r="B15" t="s">
        <v>180</v>
      </c>
      <c r="C15" s="457">
        <f>IFERROR(
    SUMIFS('Custom HV &amp; WD'!D:D, 'Custom HV &amp; WD'!$B:$B, 'Generic HV &amp; WD'!$A15, 'Custom HV &amp; WD'!$C:$C, "Base")/COUNTIFS('Custom HV &amp; WD'!$B:$B, 'Generic HV &amp; WD'!$A15, 'Custom HV &amp; WD'!$C:$C, "Base"),
    J15
)</f>
        <v>0</v>
      </c>
      <c r="D15" s="457">
        <f>IFERROR(
    SUMIFS('Custom HV &amp; WD'!E:E, 'Custom HV &amp; WD'!$B:$B, 'Generic HV &amp; WD'!$A15, 'Custom HV &amp; WD'!$C:$C, "Base")/COUNTIFS('Custom HV &amp; WD'!$B:$B, 'Generic HV &amp; WD'!$A15, 'Custom HV &amp; WD'!$C:$C, "Base"),
    K15
)</f>
        <v>7.7354999999999993E-2</v>
      </c>
      <c r="E15" s="457">
        <f>IFERROR(
    SUMIFS('Custom HV &amp; WD'!F:F, 'Custom HV &amp; WD'!$B:$B, 'Generic HV &amp; WD'!$A15, 'Custom HV &amp; WD'!$C:$C, "Base")/COUNTIFS('Custom HV &amp; WD'!$B:$B, 'Generic HV &amp; WD'!$A15, 'Custom HV &amp; WD'!$C:$C, "Base"),
    L15
)</f>
        <v>0.52288362369902364</v>
      </c>
      <c r="F15" s="457">
        <f>IFERROR(
    SUMIFS('Custom HV &amp; WD'!G:G, 'Custom HV &amp; WD'!$B:$B, 'Generic HV &amp; WD'!$A15, 'Custom HV &amp; WD'!$C:$C, "Base")/COUNTIFS('Custom HV &amp; WD'!$B:$B, 'Generic HV &amp; WD'!$A15, 'Custom HV &amp; WD'!$C:$C, "Base"),
    M15
)</f>
        <v>0.54847515896346666</v>
      </c>
      <c r="G15" s="457">
        <f>IFERROR(
    SUMIFS('Custom HV &amp; WD'!H:H, 'Custom HV &amp; WD'!$B:$B, 'Generic HV &amp; WD'!$A15, 'Custom HV &amp; WD'!$C:$C, "Base")/COUNTIFS('Custom HV &amp; WD'!$B:$B, 'Generic HV &amp; WD'!$A15, 'Custom HV &amp; WD'!$C:$C, "Base"),
    N15
)</f>
        <v>0</v>
      </c>
      <c r="H15" s="461">
        <v>3.86</v>
      </c>
      <c r="I15" s="447"/>
      <c r="J15" s="463">
        <v>0</v>
      </c>
      <c r="K15" s="463">
        <v>7.7354999999999993E-2</v>
      </c>
      <c r="L15" s="463">
        <v>0.52288362369902364</v>
      </c>
      <c r="M15" s="463">
        <v>0.54847515896346666</v>
      </c>
      <c r="N15" s="463">
        <v>0</v>
      </c>
      <c r="O15" s="459">
        <v>3.46</v>
      </c>
    </row>
    <row r="16" spans="1:27" s="362" customFormat="1" ht="18" customHeight="1" x14ac:dyDescent="0.25">
      <c r="A16" s="456" t="s">
        <v>156</v>
      </c>
      <c r="B16" t="s">
        <v>547</v>
      </c>
      <c r="C16" s="457">
        <f>IFERROR(
    SUMIFS('Custom HV &amp; WD'!D:D, 'Custom HV &amp; WD'!$B:$B, 'Generic HV &amp; WD'!$A16, 'Custom HV &amp; WD'!$C:$C, "Base")/COUNTIFS('Custom HV &amp; WD'!$B:$B, 'Generic HV &amp; WD'!$A16, 'Custom HV &amp; WD'!$C:$C, "Base"),
    J16
)</f>
        <v>0</v>
      </c>
      <c r="D16" s="457">
        <f>IFERROR(
    SUMIFS('Custom HV &amp; WD'!E:E, 'Custom HV &amp; WD'!$B:$B, 'Generic HV &amp; WD'!$A16, 'Custom HV &amp; WD'!$C:$C, "Base")/COUNTIFS('Custom HV &amp; WD'!$B:$B, 'Generic HV &amp; WD'!$A16, 'Custom HV &amp; WD'!$C:$C, "Base"),
    K16
)</f>
        <v>0.35249999999999998</v>
      </c>
      <c r="E16" s="457">
        <f>IFERROR(
    SUMIFS('Custom HV &amp; WD'!F:F, 'Custom HV &amp; WD'!$B:$B, 'Generic HV &amp; WD'!$A16, 'Custom HV &amp; WD'!$C:$C, "Base")/COUNTIFS('Custom HV &amp; WD'!$B:$B, 'Generic HV &amp; WD'!$A16, 'Custom HV &amp; WD'!$C:$C, "Base"),
    L16
)</f>
        <v>0.39216642887819259</v>
      </c>
      <c r="F16" s="457">
        <f>IFERROR(
    SUMIFS('Custom HV &amp; WD'!G:G, 'Custom HV &amp; WD'!$B:$B, 'Generic HV &amp; WD'!$A16, 'Custom HV &amp; WD'!$C:$C, "Base")/COUNTIFS('Custom HV &amp; WD'!$B:$B, 'Generic HV &amp; WD'!$A16, 'Custom HV &amp; WD'!$C:$C, "Base"),
    M16
)</f>
        <v>0.89442719099991586</v>
      </c>
      <c r="G16" s="457">
        <f>IFERROR(
    SUMIFS('Custom HV &amp; WD'!H:H, 'Custom HV &amp; WD'!$B:$B, 'Generic HV &amp; WD'!$A16, 'Custom HV &amp; WD'!$C:$C, "Base")/COUNTIFS('Custom HV &amp; WD'!$B:$B, 'Generic HV &amp; WD'!$A16, 'Custom HV &amp; WD'!$C:$C, "Base"),
    N16
)</f>
        <v>0</v>
      </c>
      <c r="H16" s="461">
        <v>3.86</v>
      </c>
      <c r="I16" s="447"/>
      <c r="J16" s="463">
        <v>0</v>
      </c>
      <c r="K16" s="463">
        <v>0.35249999999999998</v>
      </c>
      <c r="L16" s="463">
        <v>0.39216642887819259</v>
      </c>
      <c r="M16" s="463">
        <v>0.89442719099991586</v>
      </c>
      <c r="N16" s="463">
        <v>0</v>
      </c>
      <c r="O16" s="459">
        <v>4.7099999999999991</v>
      </c>
    </row>
    <row r="17" spans="1:15" s="362" customFormat="1" ht="18" customHeight="1" x14ac:dyDescent="0.25">
      <c r="A17" s="456" t="s">
        <v>154</v>
      </c>
      <c r="B17" t="s">
        <v>154</v>
      </c>
      <c r="C17" s="457">
        <f>IFERROR(
    SUMIFS('Custom HV &amp; WD'!D:D, 'Custom HV &amp; WD'!$B:$B, 'Generic HV &amp; WD'!$A17, 'Custom HV &amp; WD'!$C:$C, "Base")/COUNTIFS('Custom HV &amp; WD'!$B:$B, 'Generic HV &amp; WD'!$A17, 'Custom HV &amp; WD'!$C:$C, "Base"),
    J17
)</f>
        <v>0.15383995416612356</v>
      </c>
      <c r="D17" s="457">
        <f>IFERROR(
    SUMIFS('Custom HV &amp; WD'!E:E, 'Custom HV &amp; WD'!$B:$B, 'Generic HV &amp; WD'!$A17, 'Custom HV &amp; WD'!$C:$C, "Base")/COUNTIFS('Custom HV &amp; WD'!$B:$B, 'Generic HV &amp; WD'!$A17, 'Custom HV &amp; WD'!$C:$C, "Base"),
    K17
)</f>
        <v>0.02</v>
      </c>
      <c r="E17" s="457">
        <f>IFERROR(
    SUMIFS('Custom HV &amp; WD'!F:F, 'Custom HV &amp; WD'!$B:$B, 'Generic HV &amp; WD'!$A17, 'Custom HV &amp; WD'!$C:$C, "Base")/COUNTIFS('Custom HV &amp; WD'!$B:$B, 'Generic HV &amp; WD'!$A17, 'Custom HV &amp; WD'!$C:$C, "Base"),
    L17
)</f>
        <v>0</v>
      </c>
      <c r="F17" s="457">
        <f>IFERROR(
    SUMIFS('Custom HV &amp; WD'!G:G, 'Custom HV &amp; WD'!$B:$B, 'Generic HV &amp; WD'!$A17, 'Custom HV &amp; WD'!$C:$C, "Base")/COUNTIFS('Custom HV &amp; WD'!$B:$B, 'Generic HV &amp; WD'!$A17, 'Custom HV &amp; WD'!$C:$C, "Base"),
    M17
)</f>
        <v>0</v>
      </c>
      <c r="G17" s="457">
        <f>IFERROR(
    SUMIFS('Custom HV &amp; WD'!H:H, 'Custom HV &amp; WD'!$B:$B, 'Generic HV &amp; WD'!$A17, 'Custom HV &amp; WD'!$C:$C, "Base")/COUNTIFS('Custom HV &amp; WD'!$B:$B, 'Generic HV &amp; WD'!$A17, 'Custom HV &amp; WD'!$C:$C, "Base"),
    N17
)</f>
        <v>0.97249999999999992</v>
      </c>
      <c r="H17" s="459">
        <v>1.49</v>
      </c>
      <c r="I17" s="447"/>
      <c r="J17" s="463">
        <v>0.15383995416612356</v>
      </c>
      <c r="K17" s="463">
        <v>0.02</v>
      </c>
      <c r="L17" s="463">
        <v>0</v>
      </c>
      <c r="M17" s="463">
        <v>0</v>
      </c>
      <c r="N17" s="463">
        <v>0.97249999999999992</v>
      </c>
      <c r="O17" s="459">
        <v>1.49</v>
      </c>
    </row>
    <row r="18" spans="1:15" s="362" customFormat="1" ht="18" customHeight="1" x14ac:dyDescent="0.25">
      <c r="A18" s="456" t="s">
        <v>165</v>
      </c>
      <c r="B18" t="s">
        <v>548</v>
      </c>
      <c r="C18" s="457">
        <f>IFERROR(
    SUMIFS('Custom HV &amp; WD'!D:D, 'Custom HV &amp; WD'!$B:$B, 'Generic HV &amp; WD'!$A18, 'Custom HV &amp; WD'!$C:$C, "Base")/COUNTIFS('Custom HV &amp; WD'!$B:$B, 'Generic HV &amp; WD'!$A18, 'Custom HV &amp; WD'!$C:$C, "Base"),
    J18
)</f>
        <v>0</v>
      </c>
      <c r="D18" s="457">
        <f>IFERROR(
    SUMIFS('Custom HV &amp; WD'!E:E, 'Custom HV &amp; WD'!$B:$B, 'Generic HV &amp; WD'!$A18, 'Custom HV &amp; WD'!$C:$C, "Base")/COUNTIFS('Custom HV &amp; WD'!$B:$B, 'Generic HV &amp; WD'!$A18, 'Custom HV &amp; WD'!$C:$C, "Base"),
    K18
)</f>
        <v>0.75500000000000012</v>
      </c>
      <c r="E18" s="457">
        <f>IFERROR(
    SUMIFS('Custom HV &amp; WD'!F:F, 'Custom HV &amp; WD'!$B:$B, 'Generic HV &amp; WD'!$A18, 'Custom HV &amp; WD'!$C:$C, "Base")/COUNTIFS('Custom HV &amp; WD'!$B:$B, 'Generic HV &amp; WD'!$A18, 'Custom HV &amp; WD'!$C:$C, "Base"),
    L18
)</f>
        <v>0.15838514486573974</v>
      </c>
      <c r="F18" s="457">
        <f>IFERROR(
    SUMIFS('Custom HV &amp; WD'!G:G, 'Custom HV &amp; WD'!$B:$B, 'Generic HV &amp; WD'!$A18, 'Custom HV &amp; WD'!$C:$C, "Base")/COUNTIFS('Custom HV &amp; WD'!$B:$B, 'Generic HV &amp; WD'!$A18, 'Custom HV &amp; WD'!$C:$C, "Base"),
    M18
)</f>
        <v>0.73201711496642863</v>
      </c>
      <c r="G18" s="457">
        <f>IFERROR(
    SUMIFS('Custom HV &amp; WD'!H:H, 'Custom HV &amp; WD'!$B:$B, 'Generic HV &amp; WD'!$A18, 'Custom HV &amp; WD'!$C:$C, "Base")/COUNTIFS('Custom HV &amp; WD'!$B:$B, 'Generic HV &amp; WD'!$A18, 'Custom HV &amp; WD'!$C:$C, "Base"),
    N18
)</f>
        <v>0</v>
      </c>
      <c r="H18" s="461">
        <v>3.86</v>
      </c>
      <c r="I18" s="447"/>
      <c r="J18" s="463">
        <v>0</v>
      </c>
      <c r="K18" s="463">
        <v>0.75500000000000012</v>
      </c>
      <c r="L18" s="463">
        <v>0.15838514486573974</v>
      </c>
      <c r="M18" s="463">
        <v>0.73201711496642863</v>
      </c>
      <c r="N18" s="463">
        <v>0</v>
      </c>
      <c r="O18" s="459">
        <v>4.7099999999999991</v>
      </c>
    </row>
    <row r="19" spans="1:15" s="362" customFormat="1" ht="18" customHeight="1" x14ac:dyDescent="0.25">
      <c r="A19" s="456" t="s">
        <v>159</v>
      </c>
      <c r="B19" t="s">
        <v>549</v>
      </c>
      <c r="C19" s="457">
        <f>IFERROR(
    SUMIFS('Custom HV &amp; WD'!D:D, 'Custom HV &amp; WD'!$B:$B, 'Generic HV &amp; WD'!$A19, 'Custom HV &amp; WD'!$C:$C, "Base")/COUNTIFS('Custom HV &amp; WD'!$B:$B, 'Generic HV &amp; WD'!$A19, 'Custom HV &amp; WD'!$C:$C, "Base"),
    J19
)</f>
        <v>0</v>
      </c>
      <c r="D19" s="457">
        <f>IFERROR(
    SUMIFS('Custom HV &amp; WD'!E:E, 'Custom HV &amp; WD'!$B:$B, 'Generic HV &amp; WD'!$A19, 'Custom HV &amp; WD'!$C:$C, "Base")/COUNTIFS('Custom HV &amp; WD'!$B:$B, 'Generic HV &amp; WD'!$A19, 'Custom HV &amp; WD'!$C:$C, "Base"),
    K19
)</f>
        <v>0.12</v>
      </c>
      <c r="E19" s="457">
        <f>IFERROR(
    SUMIFS('Custom HV &amp; WD'!F:F, 'Custom HV &amp; WD'!$B:$B, 'Generic HV &amp; WD'!$A19, 'Custom HV &amp; WD'!$C:$C, "Base")/COUNTIFS('Custom HV &amp; WD'!$B:$B, 'Generic HV &amp; WD'!$A19, 'Custom HV &amp; WD'!$C:$C, "Base"),
    L19
)</f>
        <v>0.53908469164528727</v>
      </c>
      <c r="F19" s="457">
        <f>IFERROR(
    SUMIFS('Custom HV &amp; WD'!G:G, 'Custom HV &amp; WD'!$B:$B, 'Generic HV &amp; WD'!$A19, 'Custom HV &amp; WD'!$C:$C, "Base")/COUNTIFS('Custom HV &amp; WD'!$B:$B, 'Generic HV &amp; WD'!$A19, 'Custom HV &amp; WD'!$C:$C, "Base"),
    M19
)</f>
        <v>0.89442719099991586</v>
      </c>
      <c r="G19" s="457">
        <f>IFERROR(
    SUMIFS('Custom HV &amp; WD'!H:H, 'Custom HV &amp; WD'!$B:$B, 'Generic HV &amp; WD'!$A19, 'Custom HV &amp; WD'!$C:$C, "Base")/COUNTIFS('Custom HV &amp; WD'!$B:$B, 'Generic HV &amp; WD'!$A19, 'Custom HV &amp; WD'!$C:$C, "Base"),
    N19
)</f>
        <v>0</v>
      </c>
      <c r="H19" s="461">
        <v>3.86</v>
      </c>
      <c r="I19" s="447"/>
      <c r="J19" s="463">
        <v>0</v>
      </c>
      <c r="K19" s="463">
        <v>0.12</v>
      </c>
      <c r="L19" s="463">
        <v>0.53908469164528727</v>
      </c>
      <c r="M19" s="463">
        <v>0.89442719099991586</v>
      </c>
      <c r="N19" s="463">
        <v>0</v>
      </c>
      <c r="O19" s="459">
        <v>4.7099999999999991</v>
      </c>
    </row>
    <row r="20" spans="1:15" s="362" customFormat="1" ht="18" customHeight="1" x14ac:dyDescent="0.25">
      <c r="A20" s="456" t="s">
        <v>161</v>
      </c>
      <c r="B20" t="s">
        <v>550</v>
      </c>
      <c r="C20" s="457">
        <f>IFERROR(
    SUMIFS('Custom HV &amp; WD'!D:D, 'Custom HV &amp; WD'!$B:$B, 'Generic HV &amp; WD'!$A20, 'Custom HV &amp; WD'!$C:$C, "Base")/COUNTIFS('Custom HV &amp; WD'!$B:$B, 'Generic HV &amp; WD'!$A20, 'Custom HV &amp; WD'!$C:$C, "Base"),
    J20
)</f>
        <v>0</v>
      </c>
      <c r="D20" s="457">
        <f>IFERROR(
    SUMIFS('Custom HV &amp; WD'!E:E, 'Custom HV &amp; WD'!$B:$B, 'Generic HV &amp; WD'!$A20, 'Custom HV &amp; WD'!$C:$C, "Base")/COUNTIFS('Custom HV &amp; WD'!$B:$B, 'Generic HV &amp; WD'!$A20, 'Custom HV &amp; WD'!$C:$C, "Base"),
    K20
)</f>
        <v>0.11459999999999999</v>
      </c>
      <c r="E20" s="457">
        <f>IFERROR(
    SUMIFS('Custom HV &amp; WD'!F:F, 'Custom HV &amp; WD'!$B:$B, 'Generic HV &amp; WD'!$A20, 'Custom HV &amp; WD'!$C:$C, "Base")/COUNTIFS('Custom HV &amp; WD'!$B:$B, 'Generic HV &amp; WD'!$A20, 'Custom HV &amp; WD'!$C:$C, "Base"),
    L20
)</f>
        <v>0.52288362369902364</v>
      </c>
      <c r="F20" s="457">
        <f>IFERROR(
    SUMIFS('Custom HV &amp; WD'!G:G, 'Custom HV &amp; WD'!$B:$B, 'Generic HV &amp; WD'!$A20, 'Custom HV &amp; WD'!$C:$C, "Base")/COUNTIFS('Custom HV &amp; WD'!$B:$B, 'Generic HV &amp; WD'!$A20, 'Custom HV &amp; WD'!$C:$C, "Base"),
    M20
)</f>
        <v>0.87407093533648628</v>
      </c>
      <c r="G20" s="457">
        <f>IFERROR(
    SUMIFS('Custom HV &amp; WD'!H:H, 'Custom HV &amp; WD'!$B:$B, 'Generic HV &amp; WD'!$A20, 'Custom HV &amp; WD'!$C:$C, "Base")/COUNTIFS('Custom HV &amp; WD'!$B:$B, 'Generic HV &amp; WD'!$A20, 'Custom HV &amp; WD'!$C:$C, "Base"),
    N20
)</f>
        <v>0</v>
      </c>
      <c r="H20" s="461">
        <v>3.86</v>
      </c>
      <c r="I20" s="447"/>
      <c r="J20" s="463">
        <v>0</v>
      </c>
      <c r="K20" s="463">
        <v>0.11459999999999999</v>
      </c>
      <c r="L20" s="463">
        <v>0.52288362369902364</v>
      </c>
      <c r="M20" s="463">
        <v>0.87407093533648628</v>
      </c>
      <c r="N20" s="463">
        <v>0</v>
      </c>
      <c r="O20" s="459">
        <v>4.7099999999999991</v>
      </c>
    </row>
    <row r="21" spans="1:15" s="362" customFormat="1" ht="18" customHeight="1" x14ac:dyDescent="0.25">
      <c r="A21" s="456" t="s">
        <v>162</v>
      </c>
      <c r="B21" t="s">
        <v>551</v>
      </c>
      <c r="C21" s="457">
        <f>IFERROR(
    SUMIFS('Custom HV &amp; WD'!D:D, 'Custom HV &amp; WD'!$B:$B, 'Generic HV &amp; WD'!$A21, 'Custom HV &amp; WD'!$C:$C, "Base")/COUNTIFS('Custom HV &amp; WD'!$B:$B, 'Generic HV &amp; WD'!$A21, 'Custom HV &amp; WD'!$C:$C, "Base"),
    J21
)</f>
        <v>0</v>
      </c>
      <c r="D21" s="457">
        <f>IFERROR(
    SUMIFS('Custom HV &amp; WD'!E:E, 'Custom HV &amp; WD'!$B:$B, 'Generic HV &amp; WD'!$A21, 'Custom HV &amp; WD'!$C:$C, "Base")/COUNTIFS('Custom HV &amp; WD'!$B:$B, 'Generic HV &amp; WD'!$A21, 'Custom HV &amp; WD'!$C:$C, "Base"),
    K21
)</f>
        <v>0.38200000000000001</v>
      </c>
      <c r="E21" s="457">
        <f>IFERROR(
    SUMIFS('Custom HV &amp; WD'!F:F, 'Custom HV &amp; WD'!$B:$B, 'Generic HV &amp; WD'!$A21, 'Custom HV &amp; WD'!$C:$C, "Base")/COUNTIFS('Custom HV &amp; WD'!$B:$B, 'Generic HV &amp; WD'!$A21, 'Custom HV &amp; WD'!$C:$C, "Base"),
    L21
)</f>
        <v>0.52288362369902364</v>
      </c>
      <c r="F21" s="457">
        <f>IFERROR(
    SUMIFS('Custom HV &amp; WD'!G:G, 'Custom HV &amp; WD'!$B:$B, 'Generic HV &amp; WD'!$A21, 'Custom HV &amp; WD'!$C:$C, "Base")/COUNTIFS('Custom HV &amp; WD'!$B:$B, 'Generic HV &amp; WD'!$A21, 'Custom HV &amp; WD'!$C:$C, "Base"),
    M21
)</f>
        <v>0.87407093533648628</v>
      </c>
      <c r="G21" s="457">
        <f>IFERROR(
    SUMIFS('Custom HV &amp; WD'!H:H, 'Custom HV &amp; WD'!$B:$B, 'Generic HV &amp; WD'!$A21, 'Custom HV &amp; WD'!$C:$C, "Base")/COUNTIFS('Custom HV &amp; WD'!$B:$B, 'Generic HV &amp; WD'!$A21, 'Custom HV &amp; WD'!$C:$C, "Base"),
    N21
)</f>
        <v>0</v>
      </c>
      <c r="H21" s="461">
        <v>3.86</v>
      </c>
      <c r="I21" s="447"/>
      <c r="J21" s="463">
        <v>0</v>
      </c>
      <c r="K21" s="463">
        <v>0.38200000000000001</v>
      </c>
      <c r="L21" s="463">
        <v>0.52288362369902364</v>
      </c>
      <c r="M21" s="463">
        <v>0.87407093533648628</v>
      </c>
      <c r="N21" s="463">
        <v>0</v>
      </c>
      <c r="O21" s="459">
        <v>4.7099999999999991</v>
      </c>
    </row>
    <row r="22" spans="1:15" s="362" customFormat="1" ht="18" customHeight="1" x14ac:dyDescent="0.25">
      <c r="A22" s="456" t="s">
        <v>167</v>
      </c>
      <c r="B22" t="s">
        <v>552</v>
      </c>
      <c r="C22" s="457">
        <f>IFERROR(
    SUMIFS('Custom HV &amp; WD'!D:D, 'Custom HV &amp; WD'!$B:$B, 'Generic HV &amp; WD'!$A22, 'Custom HV &amp; WD'!$C:$C, "Base")/COUNTIFS('Custom HV &amp; WD'!$B:$B, 'Generic HV &amp; WD'!$A22, 'Custom HV &amp; WD'!$C:$C, "Base"),
    J22
)</f>
        <v>0</v>
      </c>
      <c r="D22" s="457">
        <f>IFERROR(
    SUMIFS('Custom HV &amp; WD'!E:E, 'Custom HV &amp; WD'!$B:$B, 'Generic HV &amp; WD'!$A22, 'Custom HV &amp; WD'!$C:$C, "Base")/COUNTIFS('Custom HV &amp; WD'!$B:$B, 'Generic HV &amp; WD'!$A22, 'Custom HV &amp; WD'!$C:$C, "Base"),
    K22
)</f>
        <v>0.3726666666666667</v>
      </c>
      <c r="E22" s="457">
        <f>IFERROR(
    SUMIFS('Custom HV &amp; WD'!F:F, 'Custom HV &amp; WD'!$B:$B, 'Generic HV &amp; WD'!$A22, 'Custom HV &amp; WD'!$C:$C, "Base")/COUNTIFS('Custom HV &amp; WD'!$B:$B, 'Generic HV &amp; WD'!$A22, 'Custom HV &amp; WD'!$C:$C, "Base"),
    L22
)</f>
        <v>0.50390843230817306</v>
      </c>
      <c r="F22" s="457">
        <f>IFERROR(
    SUMIFS('Custom HV &amp; WD'!G:G, 'Custom HV &amp; WD'!$B:$B, 'Generic HV &amp; WD'!$A22, 'Custom HV &amp; WD'!$C:$C, "Base")/COUNTIFS('Custom HV &amp; WD'!$B:$B, 'Generic HV &amp; WD'!$A22, 'Custom HV &amp; WD'!$C:$C, "Base"),
    M22
)</f>
        <v>0.63196123298822693</v>
      </c>
      <c r="G22" s="457">
        <f>IFERROR(
    SUMIFS('Custom HV &amp; WD'!H:H, 'Custom HV &amp; WD'!$B:$B, 'Generic HV &amp; WD'!$A22, 'Custom HV &amp; WD'!$C:$C, "Base")/COUNTIFS('Custom HV &amp; WD'!$B:$B, 'Generic HV &amp; WD'!$A22, 'Custom HV &amp; WD'!$C:$C, "Base"),
    N22
)</f>
        <v>0</v>
      </c>
      <c r="H22" s="461">
        <v>3.86</v>
      </c>
      <c r="I22" s="447"/>
      <c r="J22" s="463">
        <v>0</v>
      </c>
      <c r="K22" s="463">
        <v>0.3726666666666667</v>
      </c>
      <c r="L22" s="463">
        <v>0.50390843230817306</v>
      </c>
      <c r="M22" s="463">
        <v>0.63196123298822693</v>
      </c>
      <c r="N22" s="463">
        <v>0</v>
      </c>
      <c r="O22" s="459">
        <v>4.7099999999999991</v>
      </c>
    </row>
    <row r="23" spans="1:15" s="362" customFormat="1" ht="18" customHeight="1" x14ac:dyDescent="0.25">
      <c r="A23" s="456" t="s">
        <v>168</v>
      </c>
      <c r="B23" t="s">
        <v>553</v>
      </c>
      <c r="C23" s="457">
        <f>IFERROR(
    SUMIFS('Custom HV &amp; WD'!D:D, 'Custom HV &amp; WD'!$B:$B, 'Generic HV &amp; WD'!$A23, 'Custom HV &amp; WD'!$C:$C, "Base")/COUNTIFS('Custom HV &amp; WD'!$B:$B, 'Generic HV &amp; WD'!$A23, 'Custom HV &amp; WD'!$C:$C, "Base"),
    J23
)</f>
        <v>0</v>
      </c>
      <c r="D23" s="457">
        <f>IFERROR(
    SUMIFS('Custom HV &amp; WD'!E:E, 'Custom HV &amp; WD'!$B:$B, 'Generic HV &amp; WD'!$A23, 'Custom HV &amp; WD'!$C:$C, "Base")/COUNTIFS('Custom HV &amp; WD'!$B:$B, 'Generic HV &amp; WD'!$A23, 'Custom HV &amp; WD'!$C:$C, "Base"),
    K23
)</f>
        <v>0.35186666666666666</v>
      </c>
      <c r="E23" s="457">
        <f>IFERROR(
    SUMIFS('Custom HV &amp; WD'!F:F, 'Custom HV &amp; WD'!$B:$B, 'Generic HV &amp; WD'!$A23, 'Custom HV &amp; WD'!$C:$C, "Base")/COUNTIFS('Custom HV &amp; WD'!$B:$B, 'Generic HV &amp; WD'!$A23, 'Custom HV &amp; WD'!$C:$C, "Base"),
    L23
)</f>
        <v>0.56982333691863019</v>
      </c>
      <c r="F23" s="457">
        <f>IFERROR(
    SUMIFS('Custom HV &amp; WD'!G:G, 'Custom HV &amp; WD'!$B:$B, 'Generic HV &amp; WD'!$A23, 'Custom HV &amp; WD'!$C:$C, "Base")/COUNTIFS('Custom HV &amp; WD'!$B:$B, 'Generic HV &amp; WD'!$A23, 'Custom HV &amp; WD'!$C:$C, "Base"),
    M23
)</f>
        <v>0.61022536820423978</v>
      </c>
      <c r="G23" s="457">
        <f>IFERROR(
    SUMIFS('Custom HV &amp; WD'!H:H, 'Custom HV &amp; WD'!$B:$B, 'Generic HV &amp; WD'!$A23, 'Custom HV &amp; WD'!$C:$C, "Base")/COUNTIFS('Custom HV &amp; WD'!$B:$B, 'Generic HV &amp; WD'!$A23, 'Custom HV &amp; WD'!$C:$C, "Base"),
    N23
)</f>
        <v>0</v>
      </c>
      <c r="H23" s="461">
        <v>3.86</v>
      </c>
      <c r="I23" s="447"/>
      <c r="J23" s="463">
        <v>0</v>
      </c>
      <c r="K23" s="463">
        <v>0.35186666666666666</v>
      </c>
      <c r="L23" s="463">
        <v>0.56982333691863019</v>
      </c>
      <c r="M23" s="463">
        <v>0.61022536820423978</v>
      </c>
      <c r="N23" s="463">
        <v>0</v>
      </c>
      <c r="O23" s="459">
        <v>4.7099999999999991</v>
      </c>
    </row>
    <row r="24" spans="1:15" s="362" customFormat="1" ht="18" customHeight="1" x14ac:dyDescent="0.25">
      <c r="A24" s="456" t="s">
        <v>134</v>
      </c>
      <c r="B24" t="s">
        <v>542</v>
      </c>
      <c r="C24" s="457">
        <f>IFERROR(
    SUMIFS('Custom HV &amp; WD'!D:D, 'Custom HV &amp; WD'!$B:$B, 'Generic HV &amp; WD'!$A24, 'Custom HV &amp; WD'!$C:$C, "Base")/COUNTIFS('Custom HV &amp; WD'!$B:$B, 'Generic HV &amp; WD'!$A24, 'Custom HV &amp; WD'!$C:$C, "Base"),
    J24
)</f>
        <v>0</v>
      </c>
      <c r="D24" s="457">
        <f>IFERROR(
    SUMIFS('Custom HV &amp; WD'!E:E, 'Custom HV &amp; WD'!$B:$B, 'Generic HV &amp; WD'!$A24, 'Custom HV &amp; WD'!$C:$C, "Base")/COUNTIFS('Custom HV &amp; WD'!$B:$B, 'Generic HV &amp; WD'!$A24, 'Custom HV &amp; WD'!$C:$C, "Base"),
    K24
)</f>
        <v>4.1542499999999996E-2</v>
      </c>
      <c r="E24" s="457">
        <f>IFERROR(
    SUMIFS('Custom HV &amp; WD'!F:F, 'Custom HV &amp; WD'!$B:$B, 'Generic HV &amp; WD'!$A24, 'Custom HV &amp; WD'!$C:$C, "Base")/COUNTIFS('Custom HV &amp; WD'!$B:$B, 'Generic HV &amp; WD'!$A24, 'Custom HV &amp; WD'!$C:$C, "Base"),
    L24
)</f>
        <v>0.12905957731130205</v>
      </c>
      <c r="F24" s="457">
        <f>IFERROR(
    SUMIFS('Custom HV &amp; WD'!G:G, 'Custom HV &amp; WD'!$B:$B, 'Generic HV &amp; WD'!$A24, 'Custom HV &amp; WD'!$C:$C, "Base")/COUNTIFS('Custom HV &amp; WD'!$B:$B, 'Generic HV &amp; WD'!$A24, 'Custom HV &amp; WD'!$C:$C, "Base"),
    M24
)</f>
        <v>0.30120590963658067</v>
      </c>
      <c r="G24" s="457">
        <f>IFERROR(
    SUMIFS('Custom HV &amp; WD'!H:H, 'Custom HV &amp; WD'!$B:$B, 'Generic HV &amp; WD'!$A24, 'Custom HV &amp; WD'!$C:$C, "Base")/COUNTIFS('Custom HV &amp; WD'!$B:$B, 'Generic HV &amp; WD'!$A24, 'Custom HV &amp; WD'!$C:$C, "Base"),
    N24
)</f>
        <v>0</v>
      </c>
      <c r="H24" s="459">
        <v>0.98</v>
      </c>
      <c r="I24" s="447"/>
      <c r="J24" s="463">
        <v>0</v>
      </c>
      <c r="K24" s="463">
        <v>4.1542499999999996E-2</v>
      </c>
      <c r="L24" s="463">
        <v>0.12905957731130205</v>
      </c>
      <c r="M24" s="463">
        <v>0.30120590963658067</v>
      </c>
      <c r="N24" s="463">
        <v>0</v>
      </c>
      <c r="O24" s="459">
        <v>0.98</v>
      </c>
    </row>
    <row r="25" spans="1:15" s="362" customFormat="1" ht="18" customHeight="1" x14ac:dyDescent="0.25">
      <c r="A25" s="456" t="s">
        <v>143</v>
      </c>
      <c r="B25" t="s">
        <v>554</v>
      </c>
      <c r="C25" s="457">
        <f>IFERROR(
    SUMIFS('Custom HV &amp; WD'!D:D, 'Custom HV &amp; WD'!$B:$B, 'Generic HV &amp; WD'!$A25, 'Custom HV &amp; WD'!$C:$C, "Base")/COUNTIFS('Custom HV &amp; WD'!$B:$B, 'Generic HV &amp; WD'!$A25, 'Custom HV &amp; WD'!$C:$C, "Base"),
    J25
)</f>
        <v>0</v>
      </c>
      <c r="D25" s="457">
        <f>IFERROR(
    SUMIFS('Custom HV &amp; WD'!E:E, 'Custom HV &amp; WD'!$B:$B, 'Generic HV &amp; WD'!$A25, 'Custom HV &amp; WD'!$C:$C, "Base")/COUNTIFS('Custom HV &amp; WD'!$B:$B, 'Generic HV &amp; WD'!$A25, 'Custom HV &amp; WD'!$C:$C, "Base"),
    K25
)</f>
        <v>4.7272500000000002E-2</v>
      </c>
      <c r="E25" s="457">
        <f>IFERROR(
    SUMIFS('Custom HV &amp; WD'!F:F, 'Custom HV &amp; WD'!$B:$B, 'Generic HV &amp; WD'!$A25, 'Custom HV &amp; WD'!$C:$C, "Base")/COUNTIFS('Custom HV &amp; WD'!$B:$B, 'Generic HV &amp; WD'!$A25, 'Custom HV &amp; WD'!$C:$C, "Base"),
    L25
)</f>
        <v>0.36071307787781953</v>
      </c>
      <c r="F25" s="457">
        <f>IFERROR(
    SUMIFS('Custom HV &amp; WD'!G:G, 'Custom HV &amp; WD'!$B:$B, 'Generic HV &amp; WD'!$A25, 'Custom HV &amp; WD'!$C:$C, "Base")/COUNTIFS('Custom HV &amp; WD'!$B:$B, 'Generic HV &amp; WD'!$A25, 'Custom HV &amp; WD'!$C:$C, "Base"),
    M25
)</f>
        <v>0.39089640571384132</v>
      </c>
      <c r="G25" s="457">
        <f>IFERROR(
    SUMIFS('Custom HV &amp; WD'!H:H, 'Custom HV &amp; WD'!$B:$B, 'Generic HV &amp; WD'!$A25, 'Custom HV &amp; WD'!$C:$C, "Base")/COUNTIFS('Custom HV &amp; WD'!$B:$B, 'Generic HV &amp; WD'!$A25, 'Custom HV &amp; WD'!$C:$C, "Base"),
    N25
)</f>
        <v>0</v>
      </c>
      <c r="H25" s="459">
        <v>3.59</v>
      </c>
      <c r="I25" s="447"/>
      <c r="J25" s="463">
        <v>0</v>
      </c>
      <c r="K25" s="463">
        <v>4.7272500000000002E-2</v>
      </c>
      <c r="L25" s="463">
        <v>0.36071307787781953</v>
      </c>
      <c r="M25" s="463">
        <v>0.39089640571384132</v>
      </c>
      <c r="N25" s="463">
        <v>0</v>
      </c>
      <c r="O25" s="459">
        <v>3.59</v>
      </c>
    </row>
    <row r="26" spans="1:15" s="362" customFormat="1" ht="18" customHeight="1" x14ac:dyDescent="0.25">
      <c r="A26" s="456" t="s">
        <v>147</v>
      </c>
      <c r="B26" t="s">
        <v>543</v>
      </c>
      <c r="C26" s="457">
        <f>IFERROR(
    SUMIFS('Custom HV &amp; WD'!D:D, 'Custom HV &amp; WD'!$B:$B, 'Generic HV &amp; WD'!$A26, 'Custom HV &amp; WD'!$C:$C, "Base")/COUNTIFS('Custom HV &amp; WD'!$B:$B, 'Generic HV &amp; WD'!$A26, 'Custom HV &amp; WD'!$C:$C, "Base"),
    J26
)</f>
        <v>0</v>
      </c>
      <c r="D26" s="457">
        <f>IFERROR(
    SUMIFS('Custom HV &amp; WD'!E:E, 'Custom HV &amp; WD'!$B:$B, 'Generic HV &amp; WD'!$A26, 'Custom HV &amp; WD'!$C:$C, "Base")/COUNTIFS('Custom HV &amp; WD'!$B:$B, 'Generic HV &amp; WD'!$A26, 'Custom HV &amp; WD'!$C:$C, "Base"),
    K26
)</f>
        <v>4.7750000000000001E-2</v>
      </c>
      <c r="E26" s="457">
        <f>IFERROR(
    SUMIFS('Custom HV &amp; WD'!F:F, 'Custom HV &amp; WD'!$B:$B, 'Generic HV &amp; WD'!$A26, 'Custom HV &amp; WD'!$C:$C, "Base")/COUNTIFS('Custom HV &amp; WD'!$B:$B, 'Generic HV &amp; WD'!$A26, 'Custom HV &amp; WD'!$C:$C, "Base"),
    L26
)</f>
        <v>0.23384066538248741</v>
      </c>
      <c r="F26" s="457">
        <f>IFERROR(
    SUMIFS('Custom HV &amp; WD'!G:G, 'Custom HV &amp; WD'!$B:$B, 'Generic HV &amp; WD'!$A26, 'Custom HV &amp; WD'!$C:$C, "Base")/COUNTIFS('Custom HV &amp; WD'!$B:$B, 'Generic HV &amp; WD'!$A26, 'Custom HV &amp; WD'!$C:$C, "Base"),
    M26
)</f>
        <v>0.33139855159611065</v>
      </c>
      <c r="G26" s="457">
        <f>IFERROR(
    SUMIFS('Custom HV &amp; WD'!H:H, 'Custom HV &amp; WD'!$B:$B, 'Generic HV &amp; WD'!$A26, 'Custom HV &amp; WD'!$C:$C, "Base")/COUNTIFS('Custom HV &amp; WD'!$B:$B, 'Generic HV &amp; WD'!$A26, 'Custom HV &amp; WD'!$C:$C, "Base"),
    N26
)</f>
        <v>0</v>
      </c>
      <c r="H26" s="459">
        <v>1.51</v>
      </c>
      <c r="I26" s="447"/>
      <c r="J26" s="463">
        <v>0</v>
      </c>
      <c r="K26" s="463">
        <v>4.7750000000000001E-2</v>
      </c>
      <c r="L26" s="463">
        <v>0.23384066538248741</v>
      </c>
      <c r="M26" s="463">
        <v>0.33139855159611065</v>
      </c>
      <c r="N26" s="463">
        <v>0</v>
      </c>
      <c r="O26" s="459">
        <v>1.51</v>
      </c>
    </row>
    <row r="27" spans="1:15" s="362" customFormat="1" ht="18" customHeight="1" x14ac:dyDescent="0.25">
      <c r="A27" s="456" t="s">
        <v>173</v>
      </c>
      <c r="B27" t="s">
        <v>555</v>
      </c>
      <c r="C27" s="457">
        <f>IFERROR(
    SUMIFS('Custom HV &amp; WD'!D:D, 'Custom HV &amp; WD'!$B:$B, 'Generic HV &amp; WD'!$A27, 'Custom HV &amp; WD'!$C:$C, "Base")/COUNTIFS('Custom HV &amp; WD'!$B:$B, 'Generic HV &amp; WD'!$A27, 'Custom HV &amp; WD'!$C:$C, "Base"),
    J27
)</f>
        <v>2.4812420178799487E-2</v>
      </c>
      <c r="D27" s="457">
        <f>IFERROR(
    SUMIFS('Custom HV &amp; WD'!E:E, 'Custom HV &amp; WD'!$B:$B, 'Generic HV &amp; WD'!$A27, 'Custom HV &amp; WD'!$C:$C, "Base")/COUNTIFS('Custom HV &amp; WD'!$B:$B, 'Generic HV &amp; WD'!$A27, 'Custom HV &amp; WD'!$C:$C, "Base"),
    K27
)</f>
        <v>0.18416325299178959</v>
      </c>
      <c r="E27" s="457">
        <f>IFERROR(
    SUMIFS('Custom HV &amp; WD'!F:F, 'Custom HV &amp; WD'!$B:$B, 'Generic HV &amp; WD'!$A27, 'Custom HV &amp; WD'!$C:$C, "Base")/COUNTIFS('Custom HV &amp; WD'!$B:$B, 'Generic HV &amp; WD'!$A27, 'Custom HV &amp; WD'!$C:$C, "Base"),
    L27
)</f>
        <v>0.23831196877328026</v>
      </c>
      <c r="F27" s="457">
        <f>IFERROR(
    SUMIFS('Custom HV &amp; WD'!G:G, 'Custom HV &amp; WD'!$B:$B, 'Generic HV &amp; WD'!$A27, 'Custom HV &amp; WD'!$C:$C, "Base")/COUNTIFS('Custom HV &amp; WD'!$B:$B, 'Generic HV &amp; WD'!$A27, 'Custom HV &amp; WD'!$C:$C, "Base"),
    M27
)</f>
        <v>0.43011898699446194</v>
      </c>
      <c r="G27" s="457">
        <f>IFERROR(
    SUMIFS('Custom HV &amp; WD'!H:H, 'Custom HV &amp; WD'!$B:$B, 'Generic HV &amp; WD'!$A27, 'Custom HV &amp; WD'!$C:$C, "Base")/COUNTIFS('Custom HV &amp; WD'!$B:$B, 'Generic HV &amp; WD'!$A27, 'Custom HV &amp; WD'!$C:$C, "Base"),
    N27
)</f>
        <v>8.6280155772984462E-3</v>
      </c>
      <c r="H27" s="458">
        <v>2.68</v>
      </c>
      <c r="I27" s="447"/>
      <c r="J27" s="457">
        <v>2.4812420178799487E-2</v>
      </c>
      <c r="K27" s="457">
        <v>0.18416325299178959</v>
      </c>
      <c r="L27" s="457">
        <v>0.23831196877328026</v>
      </c>
      <c r="M27" s="457">
        <v>0.43011898699446194</v>
      </c>
      <c r="N27" s="457">
        <v>8.6280155772984462E-3</v>
      </c>
      <c r="O27" s="459">
        <v>3</v>
      </c>
    </row>
    <row r="28" spans="1:15" s="362" customFormat="1" ht="18" customHeight="1" x14ac:dyDescent="0.25">
      <c r="A28" s="456" t="s">
        <v>133</v>
      </c>
      <c r="B28" t="s">
        <v>133</v>
      </c>
      <c r="C28" s="457">
        <f>IFERROR(
    SUMIFS('Custom HV &amp; WD'!D:D, 'Custom HV &amp; WD'!$B:$B, 'Generic HV &amp; WD'!$A28, 'Custom HV &amp; WD'!$C:$C, "Base")/COUNTIFS('Custom HV &amp; WD'!$B:$B, 'Generic HV &amp; WD'!$A28, 'Custom HV &amp; WD'!$C:$C, "Base"),
    J28
)</f>
        <v>0</v>
      </c>
      <c r="D28" s="457">
        <v>0</v>
      </c>
      <c r="E28" s="457">
        <f>IFERROR(
    SUMIFS('Custom HV &amp; WD'!F:F, 'Custom HV &amp; WD'!$B:$B, 'Generic HV &amp; WD'!$A28, 'Custom HV &amp; WD'!$C:$C, "Base")/COUNTIFS('Custom HV &amp; WD'!$B:$B, 'Generic HV &amp; WD'!$A28, 'Custom HV &amp; WD'!$C:$C, "Base"),
    L28
)</f>
        <v>0</v>
      </c>
      <c r="F28" s="457">
        <v>0</v>
      </c>
      <c r="G28" s="457">
        <v>0</v>
      </c>
      <c r="H28" s="459">
        <v>0</v>
      </c>
      <c r="I28" s="447"/>
      <c r="J28" s="457">
        <v>0</v>
      </c>
      <c r="K28" s="457">
        <v>0</v>
      </c>
      <c r="L28" s="457">
        <v>0</v>
      </c>
      <c r="M28" s="457">
        <v>0</v>
      </c>
      <c r="N28" s="457">
        <v>0</v>
      </c>
      <c r="O28" s="459">
        <v>0</v>
      </c>
    </row>
    <row r="29" spans="1:15" s="362" customFormat="1" ht="18" customHeight="1" x14ac:dyDescent="0.25">
      <c r="A29" s="456" t="s">
        <v>181</v>
      </c>
      <c r="B29" t="s">
        <v>181</v>
      </c>
      <c r="C29" s="457">
        <f>IFERROR(
    SUMIFS('Custom HV &amp; WD'!D:D, 'Custom HV &amp; WD'!$B:$B, 'Generic HV &amp; WD'!$A29, 'Custom HV &amp; WD'!$C:$C, "Base")/COUNTIFS('Custom HV &amp; WD'!$B:$B, 'Generic HV &amp; WD'!$A29, 'Custom HV &amp; WD'!$C:$C, "Base"),
    J29
)</f>
        <v>0</v>
      </c>
      <c r="D29" s="457">
        <f>IFERROR(
    SUMIFS('Custom HV &amp; WD'!E:E, 'Custom HV &amp; WD'!$B:$B, 'Generic HV &amp; WD'!$A29, 'Custom HV &amp; WD'!$C:$C, "Base")/COUNTIFS('Custom HV &amp; WD'!$B:$B, 'Generic HV &amp; WD'!$A29, 'Custom HV &amp; WD'!$C:$C, "Base"),
    K29
)</f>
        <v>0</v>
      </c>
      <c r="E29" s="457">
        <f>IFERROR(
    SUMIFS('Custom HV &amp; WD'!F:F, 'Custom HV &amp; WD'!$B:$B, 'Generic HV &amp; WD'!$A29, 'Custom HV &amp; WD'!$C:$C, "Base")/COUNTIFS('Custom HV &amp; WD'!$B:$B, 'Generic HV &amp; WD'!$A29, 'Custom HV &amp; WD'!$C:$C, "Base"),
    L29
)</f>
        <v>0</v>
      </c>
      <c r="F29" s="457">
        <f>IFERROR(
    SUMIFS('Custom HV &amp; WD'!G:G, 'Custom HV &amp; WD'!$B:$B, 'Generic HV &amp; WD'!$A29, 'Custom HV &amp; WD'!$C:$C, "Base")/COUNTIFS('Custom HV &amp; WD'!$B:$B, 'Generic HV &amp; WD'!$A29, 'Custom HV &amp; WD'!$C:$C, "Base"),
    M29
)</f>
        <v>0</v>
      </c>
      <c r="G29" s="457">
        <f>IFERROR(
    SUMIFS('Custom HV &amp; WD'!H:H, 'Custom HV &amp; WD'!$B:$B, 'Generic HV &amp; WD'!$A29, 'Custom HV &amp; WD'!$C:$C, "Base")/COUNTIFS('Custom HV &amp; WD'!$B:$B, 'Generic HV &amp; WD'!$A29, 'Custom HV &amp; WD'!$C:$C, "Base"),
    N29
)</f>
        <v>0</v>
      </c>
      <c r="H29" s="459">
        <v>0</v>
      </c>
      <c r="I29" s="447"/>
      <c r="J29" s="457">
        <v>0</v>
      </c>
      <c r="K29" s="457">
        <v>0</v>
      </c>
      <c r="L29" s="457">
        <v>0</v>
      </c>
      <c r="M29" s="457">
        <v>0</v>
      </c>
      <c r="N29" s="457">
        <v>0</v>
      </c>
      <c r="O29" s="459">
        <v>0</v>
      </c>
    </row>
    <row r="30" spans="1:15" s="362" customFormat="1" ht="18" customHeight="1" x14ac:dyDescent="0.25">
      <c r="A30" s="456" t="s">
        <v>183</v>
      </c>
      <c r="B30" t="s">
        <v>183</v>
      </c>
      <c r="C30" s="457">
        <f>IFERROR(
    SUMIFS('Custom HV &amp; WD'!D:D, 'Custom HV &amp; WD'!$B:$B, 'Generic HV &amp; WD'!$A30, 'Custom HV &amp; WD'!$C:$C, "Base")/COUNTIFS('Custom HV &amp; WD'!$B:$B, 'Generic HV &amp; WD'!$A30, 'Custom HV &amp; WD'!$C:$C, "Base"),
    J30
)</f>
        <v>0</v>
      </c>
      <c r="D30" s="457">
        <f>IFERROR(
    SUMIFS('Custom HV &amp; WD'!E:E, 'Custom HV &amp; WD'!$B:$B, 'Generic HV &amp; WD'!$A30, 'Custom HV &amp; WD'!$C:$C, "Base")/COUNTIFS('Custom HV &amp; WD'!$B:$B, 'Generic HV &amp; WD'!$A30, 'Custom HV &amp; WD'!$C:$C, "Base"),
    K30
)</f>
        <v>0</v>
      </c>
      <c r="E30" s="457">
        <f>IFERROR(
    SUMIFS('Custom HV &amp; WD'!F:F, 'Custom HV &amp; WD'!$B:$B, 'Generic HV &amp; WD'!$A30, 'Custom HV &amp; WD'!$C:$C, "Base")/COUNTIFS('Custom HV &amp; WD'!$B:$B, 'Generic HV &amp; WD'!$A30, 'Custom HV &amp; WD'!$C:$C, "Base"),
    L30
)</f>
        <v>0</v>
      </c>
      <c r="F30" s="457">
        <f>IFERROR(
    SUMIFS('Custom HV &amp; WD'!G:G, 'Custom HV &amp; WD'!$B:$B, 'Generic HV &amp; WD'!$A30, 'Custom HV &amp; WD'!$C:$C, "Base")/COUNTIFS('Custom HV &amp; WD'!$B:$B, 'Generic HV &amp; WD'!$A30, 'Custom HV &amp; WD'!$C:$C, "Base"),
    M30
)</f>
        <v>0</v>
      </c>
      <c r="G30" s="457">
        <f>IFERROR(
    SUMIFS('Custom HV &amp; WD'!H:H, 'Custom HV &amp; WD'!$B:$B, 'Generic HV &amp; WD'!$A30, 'Custom HV &amp; WD'!$C:$C, "Base")/COUNTIFS('Custom HV &amp; WD'!$B:$B, 'Generic HV &amp; WD'!$A30, 'Custom HV &amp; WD'!$C:$C, "Base"),
    N30
)</f>
        <v>0</v>
      </c>
      <c r="H30" s="459">
        <v>0</v>
      </c>
      <c r="I30" s="447"/>
      <c r="J30" s="457">
        <v>0</v>
      </c>
      <c r="K30" s="457">
        <v>0</v>
      </c>
      <c r="L30" s="457">
        <v>0</v>
      </c>
      <c r="M30" s="457">
        <v>0</v>
      </c>
      <c r="N30" s="457">
        <v>0</v>
      </c>
      <c r="O30" s="459">
        <v>0</v>
      </c>
    </row>
    <row r="31" spans="1:15" s="362" customFormat="1" ht="18" customHeight="1" x14ac:dyDescent="0.25">
      <c r="A31" s="456" t="s">
        <v>146</v>
      </c>
      <c r="B31" t="s">
        <v>146</v>
      </c>
      <c r="C31" s="457">
        <f>IFERROR(
    SUMIFS('Custom HV &amp; WD'!D:D, 'Custom HV &amp; WD'!$B:$B, 'Generic HV &amp; WD'!$A31, 'Custom HV &amp; WD'!$C:$C, "Base")/COUNTIFS('Custom HV &amp; WD'!$B:$B, 'Generic HV &amp; WD'!$A31, 'Custom HV &amp; WD'!$C:$C, "Base"),
    J31
)</f>
        <v>0</v>
      </c>
      <c r="D31" s="457">
        <v>0</v>
      </c>
      <c r="E31" s="457">
        <v>0</v>
      </c>
      <c r="F31" s="457">
        <v>0</v>
      </c>
      <c r="G31" s="457">
        <v>0</v>
      </c>
      <c r="H31" s="459">
        <v>0</v>
      </c>
      <c r="I31" s="447"/>
      <c r="J31" s="457">
        <v>0</v>
      </c>
      <c r="K31" s="457">
        <v>4.9154589371980681E-2</v>
      </c>
      <c r="L31" s="457">
        <v>0.15378421900161032</v>
      </c>
      <c r="M31" s="457">
        <v>0.33055555555555555</v>
      </c>
      <c r="N31" s="457">
        <v>1.7230273752012883E-2</v>
      </c>
      <c r="O31" s="459">
        <v>0</v>
      </c>
    </row>
    <row r="32" spans="1:15" s="362" customFormat="1" ht="18" customHeight="1" x14ac:dyDescent="0.25">
      <c r="A32" s="456" t="s">
        <v>122</v>
      </c>
      <c r="B32" t="s">
        <v>122</v>
      </c>
      <c r="C32" s="457">
        <f>IFERROR(
    SUMIFS('Custom HV &amp; WD'!D:D, 'Custom HV &amp; WD'!$B:$B, 'Generic HV &amp; WD'!$A32, 'Custom HV &amp; WD'!$C:$C, "Base")/COUNTIFS('Custom HV &amp; WD'!$B:$B, 'Generic HV &amp; WD'!$A32, 'Custom HV &amp; WD'!$C:$C, "Base"),
    J32
)</f>
        <v>0</v>
      </c>
      <c r="D32" s="457">
        <f>IFERROR(
    SUMIFS('Custom HV &amp; WD'!E:E, 'Custom HV &amp; WD'!$B:$B, 'Generic HV &amp; WD'!$A32, 'Custom HV &amp; WD'!$C:$C, "Base")/COUNTIFS('Custom HV &amp; WD'!$B:$B, 'Generic HV &amp; WD'!$A32, 'Custom HV &amp; WD'!$C:$C, "Base"),
    K32
)</f>
        <v>0</v>
      </c>
      <c r="E32" s="457">
        <v>0</v>
      </c>
      <c r="F32" s="457">
        <v>0</v>
      </c>
      <c r="G32" s="457">
        <v>0</v>
      </c>
      <c r="H32" s="459">
        <v>0</v>
      </c>
      <c r="I32" s="447"/>
      <c r="J32" s="457">
        <v>0</v>
      </c>
      <c r="K32" s="457">
        <v>0</v>
      </c>
      <c r="L32" s="457">
        <v>0</v>
      </c>
      <c r="M32" s="457">
        <v>4.8735408560311284E-2</v>
      </c>
      <c r="N32" s="457">
        <v>0</v>
      </c>
      <c r="O32" s="459">
        <v>0</v>
      </c>
    </row>
    <row r="33" spans="1:20" s="362" customFormat="1" ht="24" customHeight="1" x14ac:dyDescent="0.25">
      <c r="A33" s="456" t="s">
        <v>112</v>
      </c>
      <c r="B33" t="s">
        <v>112</v>
      </c>
      <c r="C33" s="457">
        <f>IFERROR(
    SUMIFS('Custom HV &amp; WD'!D:D, 'Custom HV &amp; WD'!$B:$B, 'Generic HV &amp; WD'!$A33, 'Custom HV &amp; WD'!$C:$C, "Base")/COUNTIFS('Custom HV &amp; WD'!$B:$B, 'Generic HV &amp; WD'!$A33, 'Custom HV &amp; WD'!$C:$C, "Base"),
    J33
)</f>
        <v>0.34571304221674165</v>
      </c>
      <c r="D33" s="457">
        <f>IFERROR(
    SUMIFS('Custom HV &amp; WD'!E:E, 'Custom HV &amp; WD'!$B:$B, 'Generic HV &amp; WD'!$A33, 'Custom HV &amp; WD'!$C:$C, "Base")/COUNTIFS('Custom HV &amp; WD'!$B:$B, 'Generic HV &amp; WD'!$A33, 'Custom HV &amp; WD'!$C:$C, "Base"),
    K33
)</f>
        <v>0.1741331785869723</v>
      </c>
      <c r="E33" s="457">
        <f>IFERROR(
    SUMIFS('Custom HV &amp; WD'!F:F, 'Custom HV &amp; WD'!$B:$B, 'Generic HV &amp; WD'!$A33, 'Custom HV &amp; WD'!$C:$C, "Base")/COUNTIFS('Custom HV &amp; WD'!$B:$B, 'Generic HV &amp; WD'!$A33, 'Custom HV &amp; WD'!$C:$C, "Base"),
    L33
)</f>
        <v>5.4301465254606128E-2</v>
      </c>
      <c r="F33" s="457">
        <f>IFERROR(
    SUMIFS('Custom HV &amp; WD'!G:G, 'Custom HV &amp; WD'!$B:$B, 'Generic HV &amp; WD'!$A33, 'Custom HV &amp; WD'!$C:$C, "Base")/COUNTIFS('Custom HV &amp; WD'!$B:$B, 'Generic HV &amp; WD'!$A33, 'Custom HV &amp; WD'!$C:$C, "Base"),
    M33
)</f>
        <v>0.23824169447265342</v>
      </c>
      <c r="G33" s="457">
        <f>IFERROR(
    SUMIFS('Custom HV &amp; WD'!H:H, 'Custom HV &amp; WD'!$B:$B, 'Generic HV &amp; WD'!$A33, 'Custom HV &amp; WD'!$C:$C, "Base")/COUNTIFS('Custom HV &amp; WD'!$B:$B, 'Generic HV &amp; WD'!$A33, 'Custom HV &amp; WD'!$C:$C, "Base"),
    N33
)</f>
        <v>0.38427390105904541</v>
      </c>
      <c r="H33" s="459">
        <v>3.5100000000000002</v>
      </c>
      <c r="I33" s="447"/>
      <c r="J33" s="457">
        <v>0.34571304221674165</v>
      </c>
      <c r="K33" s="457">
        <v>0.1741331785869723</v>
      </c>
      <c r="L33" s="457">
        <v>5.4301465254606128E-2</v>
      </c>
      <c r="M33" s="457">
        <v>0.23824169447265342</v>
      </c>
      <c r="N33" s="457">
        <v>0.38427390105904541</v>
      </c>
      <c r="O33" s="459">
        <v>3.5100000000000002</v>
      </c>
    </row>
    <row r="34" spans="1:20" s="362" customFormat="1" ht="18" customHeight="1" x14ac:dyDescent="0.25">
      <c r="A34" s="456" t="s">
        <v>149</v>
      </c>
      <c r="B34" t="s">
        <v>149</v>
      </c>
      <c r="C34" s="457">
        <f>IFERROR(
    SUMIFS('Custom HV &amp; WD'!D:D, 'Custom HV &amp; WD'!$B:$B, 'Generic HV &amp; WD'!$A34, 'Custom HV &amp; WD'!$C:$C, "Base")/COUNTIFS('Custom HV &amp; WD'!$B:$B, 'Generic HV &amp; WD'!$A34, 'Custom HV &amp; WD'!$C:$C, "Base"),
    J34
)</f>
        <v>2.3874240183119448E-2</v>
      </c>
      <c r="D34" s="457">
        <f>IFERROR(
    SUMIFS('Custom HV &amp; WD'!E:E, 'Custom HV &amp; WD'!$B:$B, 'Generic HV &amp; WD'!$A34, 'Custom HV &amp; WD'!$C:$C, "Base")/COUNTIFS('Custom HV &amp; WD'!$B:$B, 'Generic HV &amp; WD'!$A34, 'Custom HV &amp; WD'!$C:$C, "Base"),
    K34
)</f>
        <v>1.0157800164198127E-2</v>
      </c>
      <c r="E34" s="457">
        <f>IFERROR(
    SUMIFS('Custom HV &amp; WD'!F:F, 'Custom HV &amp; WD'!$B:$B, 'Generic HV &amp; WD'!$A34, 'Custom HV &amp; WD'!$C:$C, "Base")/COUNTIFS('Custom HV &amp; WD'!$B:$B, 'Generic HV &amp; WD'!$A34, 'Custom HV &amp; WD'!$C:$C, "Base"),
    L34
)</f>
        <v>1.7622707180487876E-2</v>
      </c>
      <c r="F34" s="457">
        <f>IFERROR(
    SUMIFS('Custom HV &amp; WD'!G:G, 'Custom HV &amp; WD'!$B:$B, 'Generic HV &amp; WD'!$A34, 'Custom HV &amp; WD'!$C:$C, "Base")/COUNTIFS('Custom HV &amp; WD'!$B:$B, 'Generic HV &amp; WD'!$A34, 'Custom HV &amp; WD'!$C:$C, "Base"),
    M34
)</f>
        <v>0.11914588988794694</v>
      </c>
      <c r="G34" s="457">
        <f>IFERROR(
    SUMIFS('Custom HV &amp; WD'!H:H, 'Custom HV &amp; WD'!$B:$B, 'Generic HV &amp; WD'!$A34, 'Custom HV &amp; WD'!$C:$C, "Base")/COUNTIFS('Custom HV &amp; WD'!$B:$B, 'Generic HV &amp; WD'!$A34, 'Custom HV &amp; WD'!$C:$C, "Base"),
    N34
)</f>
        <v>1.5199209680905115E-2</v>
      </c>
      <c r="H34" s="459">
        <v>0</v>
      </c>
      <c r="I34" s="447"/>
      <c r="J34" s="456">
        <v>0</v>
      </c>
      <c r="K34" s="456">
        <v>0</v>
      </c>
      <c r="L34" s="456">
        <v>0</v>
      </c>
      <c r="M34" s="456">
        <v>0</v>
      </c>
      <c r="N34" s="456">
        <v>0</v>
      </c>
      <c r="O34" s="459">
        <v>0</v>
      </c>
      <c r="R34" s="434"/>
      <c r="S34" s="434"/>
      <c r="T34" s="434"/>
    </row>
    <row r="35" spans="1:20" s="434" customFormat="1" ht="12.75" x14ac:dyDescent="0.2"/>
    <row r="36" spans="1:20" s="434" customFormat="1" x14ac:dyDescent="0.25">
      <c r="A36" s="434" t="s">
        <v>556</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94" t="s">
        <v>103</v>
      </c>
      <c r="B1" s="94" t="s">
        <v>104</v>
      </c>
      <c r="C1" s="474"/>
      <c r="E1" s="94" t="s">
        <v>105</v>
      </c>
      <c r="F1" s="94" t="s">
        <v>465</v>
      </c>
      <c r="G1" s="94" t="s">
        <v>464</v>
      </c>
      <c r="I1" s="94" t="s">
        <v>106</v>
      </c>
      <c r="J1" s="94" t="s">
        <v>107</v>
      </c>
      <c r="K1" s="94" t="s">
        <v>108</v>
      </c>
      <c r="L1" s="94" t="s">
        <v>105</v>
      </c>
      <c r="N1" t="s">
        <v>109</v>
      </c>
    </row>
    <row r="2" spans="1:19" ht="30.75" customHeight="1" x14ac:dyDescent="0.25">
      <c r="A2" s="112" t="s">
        <v>110</v>
      </c>
      <c r="B2" s="476">
        <v>2018</v>
      </c>
      <c r="C2" s="475">
        <v>0</v>
      </c>
      <c r="E2" s="113" t="s">
        <v>111</v>
      </c>
      <c r="F2" s="476">
        <v>25</v>
      </c>
      <c r="G2" s="480">
        <f>S3</f>
        <v>0.25224245718945365</v>
      </c>
      <c r="I2" s="113" t="s">
        <v>112</v>
      </c>
      <c r="J2" s="113" t="s">
        <v>112</v>
      </c>
      <c r="K2" s="113" t="s">
        <v>113</v>
      </c>
      <c r="L2" s="113" t="s">
        <v>114</v>
      </c>
      <c r="N2" s="114" t="s">
        <v>38</v>
      </c>
      <c r="O2" s="115" t="s">
        <v>115</v>
      </c>
      <c r="P2" s="115" t="s">
        <v>116</v>
      </c>
      <c r="Q2" s="115" t="s">
        <v>117</v>
      </c>
      <c r="R2" s="115" t="s">
        <v>118</v>
      </c>
      <c r="S2" s="115" t="s">
        <v>119</v>
      </c>
    </row>
    <row r="3" spans="1:19" x14ac:dyDescent="0.25">
      <c r="A3" s="112" t="s">
        <v>120</v>
      </c>
      <c r="B3" s="476">
        <v>2021</v>
      </c>
      <c r="C3" s="475">
        <v>1</v>
      </c>
      <c r="E3" s="113" t="s">
        <v>121</v>
      </c>
      <c r="F3" s="476">
        <v>32</v>
      </c>
      <c r="G3" s="480">
        <f t="shared" ref="G3:G12" si="0">S4</f>
        <v>0.32828806064434624</v>
      </c>
      <c r="I3" s="113" t="s">
        <v>122</v>
      </c>
      <c r="J3" s="113" t="s">
        <v>122</v>
      </c>
      <c r="K3" s="113" t="s">
        <v>122</v>
      </c>
      <c r="L3" s="113" t="s">
        <v>123</v>
      </c>
      <c r="N3" s="113" t="s">
        <v>111</v>
      </c>
      <c r="O3" s="113">
        <v>11037</v>
      </c>
      <c r="P3" s="113">
        <f t="shared" ref="P3:P14" si="1">O3*0.0015625</f>
        <v>17.245312500000001</v>
      </c>
      <c r="Q3" s="478">
        <v>0.15</v>
      </c>
      <c r="R3" s="116">
        <f>$R$14*Q3</f>
        <v>4.3499999999999996</v>
      </c>
      <c r="S3" s="116">
        <f>R3/P3</f>
        <v>0.25224245718945365</v>
      </c>
    </row>
    <row r="4" spans="1:19" x14ac:dyDescent="0.25">
      <c r="A4" s="112" t="s">
        <v>124</v>
      </c>
      <c r="B4" s="476">
        <v>2024</v>
      </c>
      <c r="C4" s="475">
        <v>2</v>
      </c>
      <c r="E4" s="113" t="s">
        <v>125</v>
      </c>
      <c r="F4" s="476">
        <v>36</v>
      </c>
      <c r="G4" s="480">
        <f t="shared" si="0"/>
        <v>1.6395759717314489</v>
      </c>
      <c r="I4" s="113" t="s">
        <v>126</v>
      </c>
      <c r="J4" s="113" t="s">
        <v>127</v>
      </c>
      <c r="K4" s="113" t="s">
        <v>126</v>
      </c>
      <c r="L4" s="113" t="s">
        <v>111</v>
      </c>
      <c r="N4" s="113" t="s">
        <v>121</v>
      </c>
      <c r="O4" s="113">
        <v>7915</v>
      </c>
      <c r="P4" s="113">
        <f t="shared" si="1"/>
        <v>12.3671875</v>
      </c>
      <c r="Q4" s="478">
        <v>0.14000000000000001</v>
      </c>
      <c r="R4" s="116">
        <f t="shared" ref="R4:R13" si="2">$R$14*Q4</f>
        <v>4.0600000000000005</v>
      </c>
      <c r="S4" s="116">
        <f t="shared" ref="S4:S11" si="3">R4/P4</f>
        <v>0.32828806064434624</v>
      </c>
    </row>
    <row r="5" spans="1:19" x14ac:dyDescent="0.25">
      <c r="A5" s="112" t="s">
        <v>128</v>
      </c>
      <c r="B5" s="476">
        <v>2027</v>
      </c>
      <c r="C5" s="475">
        <v>3</v>
      </c>
      <c r="E5" s="113" t="s">
        <v>129</v>
      </c>
      <c r="F5" s="476">
        <v>36</v>
      </c>
      <c r="G5" s="480">
        <f t="shared" si="0"/>
        <v>2.0203859475507171</v>
      </c>
      <c r="I5" s="113" t="s">
        <v>130</v>
      </c>
      <c r="J5" s="113" t="s">
        <v>131</v>
      </c>
      <c r="K5" s="113" t="s">
        <v>130</v>
      </c>
      <c r="L5" s="113" t="s">
        <v>111</v>
      </c>
      <c r="N5" s="113" t="s">
        <v>125</v>
      </c>
      <c r="O5" s="113">
        <v>2264</v>
      </c>
      <c r="P5" s="113">
        <f t="shared" si="1"/>
        <v>3.5375000000000001</v>
      </c>
      <c r="Q5" s="478">
        <v>0.2</v>
      </c>
      <c r="R5" s="116">
        <f t="shared" si="2"/>
        <v>5.8000000000000007</v>
      </c>
      <c r="S5" s="116">
        <f t="shared" si="3"/>
        <v>1.6395759717314489</v>
      </c>
    </row>
    <row r="6" spans="1:19" x14ac:dyDescent="0.25">
      <c r="A6" s="112" t="s">
        <v>132</v>
      </c>
      <c r="B6" s="476">
        <v>2030</v>
      </c>
      <c r="C6" s="475">
        <v>4</v>
      </c>
      <c r="E6" s="113" t="s">
        <v>133</v>
      </c>
      <c r="F6" s="476">
        <v>37</v>
      </c>
      <c r="G6" s="480">
        <f t="shared" si="0"/>
        <v>0.24122693007538343</v>
      </c>
      <c r="I6" s="113" t="s">
        <v>134</v>
      </c>
      <c r="J6" s="113" t="s">
        <v>135</v>
      </c>
      <c r="K6" s="113" t="s">
        <v>134</v>
      </c>
      <c r="L6" s="113" t="s">
        <v>111</v>
      </c>
      <c r="N6" s="113" t="s">
        <v>129</v>
      </c>
      <c r="O6" s="113">
        <v>2021</v>
      </c>
      <c r="P6" s="113">
        <f t="shared" si="1"/>
        <v>3.1578125000000004</v>
      </c>
      <c r="Q6" s="478">
        <v>0.22</v>
      </c>
      <c r="R6" s="116">
        <f t="shared" si="2"/>
        <v>6.38</v>
      </c>
      <c r="S6" s="116">
        <f t="shared" si="3"/>
        <v>2.0203859475507171</v>
      </c>
    </row>
    <row r="7" spans="1:19" x14ac:dyDescent="0.25">
      <c r="A7" s="112" t="s">
        <v>136</v>
      </c>
      <c r="B7" s="476">
        <v>2033</v>
      </c>
      <c r="C7" s="475">
        <v>5</v>
      </c>
      <c r="E7" s="113" t="s">
        <v>123</v>
      </c>
      <c r="F7" s="476">
        <v>22</v>
      </c>
      <c r="G7" s="480">
        <f t="shared" si="0"/>
        <v>1.9903485254691686</v>
      </c>
      <c r="I7" s="113" t="s">
        <v>137</v>
      </c>
      <c r="J7" s="113" t="s">
        <v>138</v>
      </c>
      <c r="K7" s="113" t="s">
        <v>137</v>
      </c>
      <c r="L7" s="113" t="s">
        <v>111</v>
      </c>
      <c r="N7" s="113" t="s">
        <v>133</v>
      </c>
      <c r="O7" s="113">
        <v>3847</v>
      </c>
      <c r="P7" s="113">
        <f t="shared" si="1"/>
        <v>6.0109375000000007</v>
      </c>
      <c r="Q7" s="478">
        <v>0.05</v>
      </c>
      <c r="R7" s="116">
        <f t="shared" si="2"/>
        <v>1.4500000000000002</v>
      </c>
      <c r="S7" s="116">
        <f t="shared" si="3"/>
        <v>0.24122693007538343</v>
      </c>
    </row>
    <row r="8" spans="1:19" x14ac:dyDescent="0.25">
      <c r="E8" s="113" t="s">
        <v>139</v>
      </c>
      <c r="F8" s="476">
        <v>1</v>
      </c>
      <c r="G8" s="480">
        <f t="shared" si="0"/>
        <v>1.3577176298463789</v>
      </c>
      <c r="I8" s="113" t="s">
        <v>140</v>
      </c>
      <c r="J8" s="113" t="s">
        <v>141</v>
      </c>
      <c r="K8" s="113" t="s">
        <v>140</v>
      </c>
      <c r="L8" s="113" t="s">
        <v>111</v>
      </c>
      <c r="N8" s="113" t="s">
        <v>123</v>
      </c>
      <c r="O8" s="113">
        <v>746</v>
      </c>
      <c r="P8" s="113">
        <f t="shared" si="1"/>
        <v>1.1656250000000001</v>
      </c>
      <c r="Q8" s="478">
        <v>0.08</v>
      </c>
      <c r="R8" s="116">
        <f t="shared" si="2"/>
        <v>2.3199999999999998</v>
      </c>
      <c r="S8" s="116">
        <f t="shared" si="3"/>
        <v>1.9903485254691686</v>
      </c>
    </row>
    <row r="9" spans="1:19" x14ac:dyDescent="0.25">
      <c r="E9" s="113" t="s">
        <v>142</v>
      </c>
      <c r="F9" s="476">
        <v>10</v>
      </c>
      <c r="G9" s="480">
        <f t="shared" si="0"/>
        <v>0.11248484848484849</v>
      </c>
      <c r="I9" s="113" t="s">
        <v>143</v>
      </c>
      <c r="J9" s="113" t="s">
        <v>144</v>
      </c>
      <c r="K9" s="113" t="s">
        <v>145</v>
      </c>
      <c r="L9" s="113" t="s">
        <v>111</v>
      </c>
      <c r="N9" s="113" t="s">
        <v>139</v>
      </c>
      <c r="O9" s="113">
        <v>1367</v>
      </c>
      <c r="P9" s="113">
        <f t="shared" si="1"/>
        <v>2.1359375000000003</v>
      </c>
      <c r="Q9" s="478">
        <v>0.1</v>
      </c>
      <c r="R9" s="116">
        <f t="shared" si="2"/>
        <v>2.9000000000000004</v>
      </c>
      <c r="S9" s="116">
        <f t="shared" si="3"/>
        <v>1.3577176298463789</v>
      </c>
    </row>
    <row r="10" spans="1:19" x14ac:dyDescent="0.25">
      <c r="E10" s="113" t="s">
        <v>146</v>
      </c>
      <c r="F10" s="476">
        <v>15</v>
      </c>
      <c r="G10" s="480">
        <f t="shared" si="0"/>
        <v>0.59870967741935488</v>
      </c>
      <c r="I10" s="113" t="s">
        <v>147</v>
      </c>
      <c r="J10" s="113" t="s">
        <v>148</v>
      </c>
      <c r="K10" s="113" t="s">
        <v>147</v>
      </c>
      <c r="L10" s="113" t="s">
        <v>111</v>
      </c>
      <c r="N10" s="113" t="s">
        <v>142</v>
      </c>
      <c r="O10" s="113">
        <v>330</v>
      </c>
      <c r="P10" s="113">
        <f t="shared" si="1"/>
        <v>0.515625</v>
      </c>
      <c r="Q10" s="478">
        <v>2E-3</v>
      </c>
      <c r="R10" s="116">
        <f t="shared" si="2"/>
        <v>5.8000000000000003E-2</v>
      </c>
      <c r="S10" s="116">
        <f t="shared" si="3"/>
        <v>0.11248484848484849</v>
      </c>
    </row>
    <row r="11" spans="1:19" x14ac:dyDescent="0.25">
      <c r="E11" s="113" t="s">
        <v>149</v>
      </c>
      <c r="F11" s="476">
        <v>0</v>
      </c>
      <c r="G11" s="480">
        <f t="shared" si="0"/>
        <v>0</v>
      </c>
      <c r="I11" s="113" t="s">
        <v>150</v>
      </c>
      <c r="J11" s="113" t="s">
        <v>151</v>
      </c>
      <c r="K11" s="113" t="s">
        <v>150</v>
      </c>
      <c r="L11" s="113" t="s">
        <v>142</v>
      </c>
      <c r="N11" s="113" t="s">
        <v>146</v>
      </c>
      <c r="O11" s="113">
        <v>248</v>
      </c>
      <c r="P11" s="113">
        <f t="shared" si="1"/>
        <v>0.38750000000000001</v>
      </c>
      <c r="Q11" s="478">
        <v>8.0000000000000002E-3</v>
      </c>
      <c r="R11" s="116">
        <f t="shared" si="2"/>
        <v>0.23200000000000001</v>
      </c>
      <c r="S11" s="116">
        <f t="shared" si="3"/>
        <v>0.59870967741935488</v>
      </c>
    </row>
    <row r="12" spans="1:19" x14ac:dyDescent="0.25">
      <c r="E12" s="113" t="s">
        <v>114</v>
      </c>
      <c r="F12" s="476">
        <v>35</v>
      </c>
      <c r="G12" s="480">
        <f t="shared" si="0"/>
        <v>0.52370203160270878</v>
      </c>
      <c r="I12" s="113" t="s">
        <v>133</v>
      </c>
      <c r="J12" s="113" t="s">
        <v>133</v>
      </c>
      <c r="K12" s="113" t="s">
        <v>152</v>
      </c>
      <c r="L12" s="113" t="s">
        <v>133</v>
      </c>
      <c r="N12" s="113" t="s">
        <v>149</v>
      </c>
      <c r="O12" s="113">
        <v>0</v>
      </c>
      <c r="P12" s="113">
        <f t="shared" si="1"/>
        <v>0</v>
      </c>
      <c r="Q12" s="478">
        <v>0</v>
      </c>
      <c r="R12" s="116">
        <f t="shared" si="2"/>
        <v>0</v>
      </c>
      <c r="S12" s="116">
        <v>0</v>
      </c>
    </row>
    <row r="13" spans="1:19" x14ac:dyDescent="0.25">
      <c r="E13" s="117" t="s">
        <v>153</v>
      </c>
      <c r="I13" s="113" t="s">
        <v>154</v>
      </c>
      <c r="J13" s="113" t="s">
        <v>154</v>
      </c>
      <c r="K13" s="113" t="s">
        <v>154</v>
      </c>
      <c r="L13" s="113" t="s">
        <v>129</v>
      </c>
      <c r="N13" s="113" t="s">
        <v>114</v>
      </c>
      <c r="O13" s="113">
        <v>1772</v>
      </c>
      <c r="P13" s="113">
        <f t="shared" si="1"/>
        <v>2.7687500000000003</v>
      </c>
      <c r="Q13" s="478">
        <v>0.05</v>
      </c>
      <c r="R13" s="116">
        <f t="shared" si="2"/>
        <v>1.4500000000000002</v>
      </c>
      <c r="S13" s="116">
        <f>R13/P13</f>
        <v>0.52370203160270878</v>
      </c>
    </row>
    <row r="14" spans="1:19" x14ac:dyDescent="0.25">
      <c r="E14" t="s">
        <v>155</v>
      </c>
      <c r="I14" s="113" t="s">
        <v>156</v>
      </c>
      <c r="J14" s="113" t="s">
        <v>157</v>
      </c>
      <c r="K14" s="113" t="s">
        <v>156</v>
      </c>
      <c r="L14" s="113" t="s">
        <v>114</v>
      </c>
      <c r="N14" s="113" t="s">
        <v>40</v>
      </c>
      <c r="O14" s="113">
        <v>31219</v>
      </c>
      <c r="P14" s="113">
        <f t="shared" si="1"/>
        <v>48.779687500000001</v>
      </c>
      <c r="Q14" s="113">
        <f>SUM(Q3:Q13)</f>
        <v>1</v>
      </c>
      <c r="R14" s="113">
        <v>29</v>
      </c>
      <c r="S14" s="113"/>
    </row>
    <row r="15" spans="1:19" x14ac:dyDescent="0.25">
      <c r="E15" t="s">
        <v>158</v>
      </c>
      <c r="I15" s="113" t="s">
        <v>159</v>
      </c>
      <c r="J15" s="113" t="s">
        <v>160</v>
      </c>
      <c r="K15" s="113" t="s">
        <v>159</v>
      </c>
      <c r="L15" s="113" t="s">
        <v>114</v>
      </c>
    </row>
    <row r="16" spans="1:19" ht="15.75" customHeight="1" thickBot="1" x14ac:dyDescent="0.3">
      <c r="I16" s="113" t="s">
        <v>161</v>
      </c>
      <c r="J16" s="113" t="s">
        <v>160</v>
      </c>
      <c r="K16" s="113" t="s">
        <v>161</v>
      </c>
      <c r="L16" s="113" t="s">
        <v>114</v>
      </c>
    </row>
    <row r="17" spans="5:12" ht="15.75" customHeight="1" thickBot="1" x14ac:dyDescent="0.3">
      <c r="E17" s="601" t="s">
        <v>28</v>
      </c>
      <c r="F17" s="599"/>
      <c r="G17" s="627"/>
      <c r="I17" s="113" t="s">
        <v>162</v>
      </c>
      <c r="J17" s="113" t="s">
        <v>160</v>
      </c>
      <c r="K17" s="113" t="s">
        <v>162</v>
      </c>
      <c r="L17" s="113" t="s">
        <v>114</v>
      </c>
    </row>
    <row r="18" spans="5:12" ht="15.75" customHeight="1" thickBot="1" x14ac:dyDescent="0.3">
      <c r="E18" s="477"/>
      <c r="F18" s="588" t="s">
        <v>31</v>
      </c>
      <c r="G18" s="627"/>
      <c r="I18" s="113" t="s">
        <v>163</v>
      </c>
      <c r="J18" s="113" t="s">
        <v>164</v>
      </c>
      <c r="K18" s="113" t="s">
        <v>163</v>
      </c>
      <c r="L18" s="113" t="s">
        <v>114</v>
      </c>
    </row>
    <row r="19" spans="5:12" ht="15.75" thickBot="1" x14ac:dyDescent="0.3">
      <c r="E19" s="479"/>
      <c r="F19" s="588" t="s">
        <v>564</v>
      </c>
      <c r="G19" s="627"/>
      <c r="I19" s="113" t="s">
        <v>165</v>
      </c>
      <c r="J19" s="113" t="s">
        <v>166</v>
      </c>
      <c r="K19" s="113" t="s">
        <v>165</v>
      </c>
      <c r="L19" s="113" t="s">
        <v>114</v>
      </c>
    </row>
    <row r="20" spans="5:12" x14ac:dyDescent="0.25">
      <c r="E20" t="s">
        <v>563</v>
      </c>
      <c r="I20" s="113" t="s">
        <v>167</v>
      </c>
      <c r="J20" s="113" t="s">
        <v>166</v>
      </c>
      <c r="K20" s="113" t="s">
        <v>167</v>
      </c>
      <c r="L20" s="113" t="s">
        <v>114</v>
      </c>
    </row>
    <row r="21" spans="5:12" x14ac:dyDescent="0.25">
      <c r="I21" s="113" t="s">
        <v>168</v>
      </c>
      <c r="J21" s="113" t="s">
        <v>166</v>
      </c>
      <c r="K21" s="113" t="s">
        <v>168</v>
      </c>
      <c r="L21" s="113" t="s">
        <v>114</v>
      </c>
    </row>
    <row r="22" spans="5:12" x14ac:dyDescent="0.25">
      <c r="I22" s="113" t="s">
        <v>149</v>
      </c>
      <c r="J22" s="113" t="s">
        <v>169</v>
      </c>
      <c r="K22" s="113" t="s">
        <v>149</v>
      </c>
      <c r="L22" s="113" t="s">
        <v>149</v>
      </c>
    </row>
    <row r="23" spans="5:12" x14ac:dyDescent="0.25">
      <c r="I23" s="113" t="s">
        <v>146</v>
      </c>
      <c r="J23" s="113" t="s">
        <v>146</v>
      </c>
      <c r="K23" s="113" t="s">
        <v>170</v>
      </c>
      <c r="L23" s="113" t="s">
        <v>146</v>
      </c>
    </row>
    <row r="24" spans="5:12" x14ac:dyDescent="0.25">
      <c r="I24" s="113" t="s">
        <v>171</v>
      </c>
      <c r="J24" s="113" t="s">
        <v>172</v>
      </c>
      <c r="K24" s="113" t="s">
        <v>171</v>
      </c>
      <c r="L24" s="113" t="s">
        <v>121</v>
      </c>
    </row>
    <row r="25" spans="5:12" x14ac:dyDescent="0.25">
      <c r="I25" s="113" t="s">
        <v>173</v>
      </c>
      <c r="J25" s="113" t="s">
        <v>174</v>
      </c>
      <c r="K25" s="113" t="s">
        <v>173</v>
      </c>
      <c r="L25" s="113" t="s">
        <v>121</v>
      </c>
    </row>
    <row r="26" spans="5:12" ht="15" customHeight="1" x14ac:dyDescent="0.25">
      <c r="I26" s="113" t="s">
        <v>175</v>
      </c>
      <c r="J26" s="113" t="s">
        <v>176</v>
      </c>
      <c r="K26" s="113" t="s">
        <v>175</v>
      </c>
      <c r="L26" s="113" t="s">
        <v>111</v>
      </c>
    </row>
    <row r="27" spans="5:12" ht="15" customHeight="1" x14ac:dyDescent="0.25">
      <c r="I27" s="113" t="s">
        <v>177</v>
      </c>
      <c r="J27" s="113" t="s">
        <v>178</v>
      </c>
      <c r="K27" s="113" t="s">
        <v>177</v>
      </c>
      <c r="L27" s="113" t="s">
        <v>114</v>
      </c>
    </row>
    <row r="28" spans="5:12" ht="15" customHeight="1" x14ac:dyDescent="0.25">
      <c r="I28" s="113" t="s">
        <v>179</v>
      </c>
      <c r="J28" s="113" t="s">
        <v>180</v>
      </c>
      <c r="K28" s="113" t="s">
        <v>179</v>
      </c>
      <c r="L28" s="113" t="s">
        <v>114</v>
      </c>
    </row>
    <row r="29" spans="5:12" ht="15" customHeight="1" x14ac:dyDescent="0.25">
      <c r="I29" s="113" t="s">
        <v>181</v>
      </c>
      <c r="J29" s="113" t="s">
        <v>181</v>
      </c>
      <c r="K29" s="113" t="s">
        <v>182</v>
      </c>
      <c r="L29" s="113" t="s">
        <v>139</v>
      </c>
    </row>
    <row r="30" spans="5:12" ht="15" customHeight="1" x14ac:dyDescent="0.25">
      <c r="I30" s="113" t="s">
        <v>183</v>
      </c>
      <c r="J30" s="113" t="s">
        <v>183</v>
      </c>
      <c r="K30" s="113" t="s">
        <v>184</v>
      </c>
      <c r="L30" s="113" t="s">
        <v>139</v>
      </c>
    </row>
    <row r="31" spans="5:12" ht="15" customHeight="1" x14ac:dyDescent="0.25">
      <c r="I31" s="113" t="s">
        <v>185</v>
      </c>
      <c r="J31" s="113" t="s">
        <v>186</v>
      </c>
      <c r="K31" s="113" t="s">
        <v>187</v>
      </c>
      <c r="L31" s="113" t="s">
        <v>125</v>
      </c>
    </row>
    <row r="32" spans="5:12" ht="15" customHeight="1" x14ac:dyDescent="0.25">
      <c r="I32" s="113" t="s">
        <v>188</v>
      </c>
      <c r="J32" s="113" t="s">
        <v>189</v>
      </c>
      <c r="K32" s="113" t="s">
        <v>190</v>
      </c>
      <c r="L32" s="113" t="s">
        <v>129</v>
      </c>
    </row>
    <row r="36" spans="6:9" x14ac:dyDescent="0.25">
      <c r="F36" s="621" t="s">
        <v>509</v>
      </c>
      <c r="G36" s="618"/>
      <c r="H36" s="136"/>
    </row>
    <row r="37" spans="6:9" ht="26.25" x14ac:dyDescent="0.25">
      <c r="F37" s="136"/>
      <c r="G37" s="356" t="s">
        <v>510</v>
      </c>
      <c r="H37" s="136"/>
    </row>
    <row r="38" spans="6:9" x14ac:dyDescent="0.25">
      <c r="F38" s="380" t="s">
        <v>172</v>
      </c>
      <c r="G38" s="432">
        <v>2.73</v>
      </c>
      <c r="H38" s="136"/>
      <c r="I38">
        <f>G38*3*640</f>
        <v>5241.5999999999995</v>
      </c>
    </row>
    <row r="39" spans="6:9" x14ac:dyDescent="0.25">
      <c r="F39" s="380" t="s">
        <v>121</v>
      </c>
      <c r="G39" s="432">
        <v>2.68</v>
      </c>
      <c r="H39" s="136"/>
    </row>
    <row r="40" spans="6:9" x14ac:dyDescent="0.25">
      <c r="F40" s="380" t="s">
        <v>511</v>
      </c>
      <c r="G40" s="432">
        <v>1.01</v>
      </c>
      <c r="H40" s="136"/>
    </row>
    <row r="41" spans="6:9" x14ac:dyDescent="0.25">
      <c r="F41" s="380" t="s">
        <v>512</v>
      </c>
      <c r="G41" s="432">
        <v>3.18</v>
      </c>
      <c r="H41" s="136"/>
    </row>
    <row r="42" spans="6:9" x14ac:dyDescent="0.25">
      <c r="F42" s="380" t="s">
        <v>513</v>
      </c>
      <c r="G42" s="432">
        <v>3.13</v>
      </c>
      <c r="H42" s="136" t="s">
        <v>514</v>
      </c>
    </row>
    <row r="43" spans="6:9" x14ac:dyDescent="0.25">
      <c r="F43" s="380" t="s">
        <v>515</v>
      </c>
      <c r="G43" s="432">
        <v>3.86</v>
      </c>
      <c r="H43" s="136"/>
    </row>
    <row r="44" spans="6:9" x14ac:dyDescent="0.25">
      <c r="F44" s="380" t="s">
        <v>516</v>
      </c>
      <c r="G44" s="432">
        <v>5.38</v>
      </c>
      <c r="H44" s="136" t="s">
        <v>517</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 1</vt:lpstr>
      <vt:lpstr>Steps 1 thru 2</vt:lpstr>
      <vt:lpstr>Steps 1 thru 3</vt:lpstr>
      <vt:lpstr>Steps 1 thru 4</vt:lpstr>
      <vt:lpstr>Steps 1 thru 5</vt:lpstr>
      <vt:lpstr>'10 YEAR PROJECTION'!Print_Area</vt:lpstr>
      <vt:lpstr>'NPV Summary'!Print_Area</vt:lpstr>
      <vt:lpstr>'Step 1'!Print_Area</vt:lpstr>
      <vt:lpstr>'Steps 1 thru 2'!Print_Area</vt:lpstr>
      <vt:lpstr>'Steps 1 thru 3'!Print_Area</vt:lpstr>
      <vt:lpstr>'Steps 1 thru 4'!Print_Area</vt:lpstr>
      <vt:lpstr>'Steps 1 thru 5'!Print_Area</vt:lpstr>
      <vt:lpstr>'10 YEAR PROJECTION'!Print_Titles</vt:lpstr>
      <vt:lpstr>'NPV Summary'!Print_Titles</vt:lpstr>
      <vt:lpstr>'Step 1'!Print_Titles</vt:lpstr>
      <vt:lpstr>'Steps 1 thru 2'!Print_Titles</vt:lpstr>
      <vt:lpstr>'Steps 1 thru 3'!Print_Titles</vt:lpstr>
      <vt:lpstr>'Steps 1 thru 4'!Print_Titles</vt:lpstr>
      <vt:lpstr>'Steps 1 thru 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2018-06-26T22:25:10Z</dcterms:modified>
</cp:coreProperties>
</file>