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bfffd0a379e7d9/20 Winter/OPMGT450/problem set/"/>
    </mc:Choice>
  </mc:AlternateContent>
  <xr:revisionPtr revIDLastSave="1005" documentId="8_{CCD423A3-931A-4E86-BE47-EE357E3569D2}" xr6:coauthVersionLast="45" xr6:coauthVersionMax="45" xr10:uidLastSave="{C9289844-BC9C-48F4-92AA-C91943559C87}"/>
  <bookViews>
    <workbookView xWindow="-109" yWindow="-109" windowWidth="23452" windowHeight="14134" xr2:uid="{E7C5419D-3D1C-4EB3-8FB9-5B276665235F}"/>
  </bookViews>
  <sheets>
    <sheet name="Project duration" sheetId="1" r:id="rId1"/>
    <sheet name="boat decision" sheetId="3" r:id="rId2"/>
    <sheet name="simulation for repair task" sheetId="2" r:id="rId3"/>
  </sheets>
  <definedNames>
    <definedName name="solver_adj" localSheetId="1" hidden="1">'boat decision'!$A$5:$A$10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'boat decision'!$A$14</definedName>
    <definedName name="solver_lhs2" localSheetId="1" hidden="1">'boat decision'!$A$5:$A$10</definedName>
    <definedName name="solver_lhs3" localSheetId="1" hidden="1">'boat decision'!$E$14</definedName>
    <definedName name="solver_lhs4" localSheetId="1" hidden="1">'boat decision'!$N$14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'boat decision'!$M$20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5</definedName>
    <definedName name="solver_rel3" localSheetId="1" hidden="1">3</definedName>
    <definedName name="solver_rel4" localSheetId="1" hidden="1">3</definedName>
    <definedName name="solver_rhs1" localSheetId="1" hidden="1">'boat decision'!$C$14</definedName>
    <definedName name="solver_rhs2" localSheetId="1" hidden="1">binary</definedName>
    <definedName name="solver_rhs3" localSheetId="1" hidden="1">'boat decision'!$G$14</definedName>
    <definedName name="solver_rhs4" localSheetId="1" hidden="1">'boat decision'!$P$14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1" l="1"/>
  <c r="K5" i="3"/>
  <c r="K6" i="3"/>
  <c r="K7" i="3"/>
  <c r="K8" i="3"/>
  <c r="K9" i="3"/>
  <c r="K10" i="3"/>
  <c r="J89" i="1"/>
  <c r="I89" i="1"/>
  <c r="G87" i="1"/>
  <c r="F87" i="1"/>
  <c r="H87" i="1"/>
  <c r="U53" i="1"/>
  <c r="O53" i="1"/>
  <c r="O52" i="1"/>
  <c r="D78" i="1" l="1"/>
  <c r="E78" i="1"/>
  <c r="F78" i="1"/>
  <c r="G78" i="1"/>
  <c r="H78" i="1"/>
  <c r="H73" i="1"/>
  <c r="H11" i="3"/>
  <c r="I11" i="3" l="1"/>
  <c r="I43" i="1"/>
  <c r="M40" i="3"/>
  <c r="H43" i="1"/>
  <c r="G43" i="1"/>
  <c r="R53" i="1"/>
  <c r="R52" i="1"/>
  <c r="N48" i="1"/>
  <c r="L48" i="1"/>
  <c r="K48" i="1"/>
  <c r="D48" i="1"/>
  <c r="E48" i="1"/>
  <c r="C48" i="1"/>
  <c r="F9" i="1"/>
  <c r="F7" i="1"/>
  <c r="F46" i="1"/>
  <c r="E34" i="1"/>
  <c r="F43" i="1" s="1"/>
  <c r="F48" i="1" s="1"/>
  <c r="R23" i="3"/>
  <c r="K11" i="3"/>
  <c r="R25" i="3"/>
  <c r="R20" i="3"/>
  <c r="R18" i="3"/>
  <c r="W15" i="3"/>
  <c r="L43" i="1"/>
  <c r="K43" i="1"/>
  <c r="G11" i="3"/>
  <c r="F11" i="3"/>
  <c r="D28" i="1" l="1"/>
  <c r="C22" i="1"/>
  <c r="C21" i="1"/>
  <c r="E14" i="3" l="1"/>
  <c r="A14" i="3"/>
  <c r="R11" i="3"/>
  <c r="I8" i="3" s="1"/>
  <c r="L8" i="3" s="1"/>
  <c r="M8" i="3" s="1"/>
  <c r="N10" i="3"/>
  <c r="G10" i="3"/>
  <c r="E10" i="3"/>
  <c r="N9" i="3"/>
  <c r="G9" i="3"/>
  <c r="E9" i="3"/>
  <c r="R8" i="3"/>
  <c r="I10" i="3" s="1"/>
  <c r="N8" i="3"/>
  <c r="G8" i="3"/>
  <c r="E8" i="3"/>
  <c r="N7" i="3"/>
  <c r="G7" i="3"/>
  <c r="E7" i="3"/>
  <c r="N6" i="3"/>
  <c r="G6" i="3"/>
  <c r="E6" i="3"/>
  <c r="N5" i="3"/>
  <c r="N14" i="3" s="1"/>
  <c r="G5" i="3"/>
  <c r="E5" i="3"/>
  <c r="O12" i="1"/>
  <c r="O11" i="1"/>
  <c r="Q18" i="1" l="1"/>
  <c r="R22" i="1" s="1"/>
  <c r="K18" i="1"/>
  <c r="L22" i="1" s="1"/>
  <c r="L10" i="3"/>
  <c r="M10" i="3" s="1"/>
  <c r="I9" i="3"/>
  <c r="L9" i="3" s="1"/>
  <c r="M9" i="3" s="1"/>
  <c r="I6" i="3"/>
  <c r="L6" i="3" s="1"/>
  <c r="M6" i="3" s="1"/>
  <c r="I5" i="3"/>
  <c r="L5" i="3" s="1"/>
  <c r="M5" i="3" s="1"/>
  <c r="I7" i="3"/>
  <c r="L7" i="3" s="1"/>
  <c r="M7" i="3" s="1"/>
  <c r="U9" i="1"/>
  <c r="K22" i="1" l="1"/>
  <c r="Q22" i="1"/>
  <c r="M20" i="3"/>
  <c r="F7" i="2"/>
  <c r="E7" i="2"/>
  <c r="K7" i="2"/>
  <c r="B13" i="2" s="1"/>
  <c r="B18" i="2" s="1"/>
  <c r="B419" i="2" s="1"/>
  <c r="C20" i="1" s="1"/>
  <c r="G7" i="2" l="1"/>
  <c r="I7" i="2" s="1"/>
  <c r="H7" i="2"/>
  <c r="J7" i="2" l="1"/>
  <c r="C17" i="1"/>
  <c r="N6" i="1"/>
  <c r="O6" i="1" s="1"/>
  <c r="N5" i="1"/>
  <c r="O5" i="1" s="1"/>
  <c r="O8" i="1" l="1"/>
  <c r="Q8" i="1" s="1"/>
  <c r="C8" i="1"/>
  <c r="F8" i="1" s="1"/>
  <c r="C10" i="1"/>
  <c r="F10" i="1" s="1"/>
  <c r="C11" i="1"/>
  <c r="F11" i="1" s="1"/>
  <c r="C12" i="1"/>
  <c r="C16" i="1"/>
  <c r="M46" i="1" s="1"/>
  <c r="M48" i="1" s="1"/>
  <c r="E13" i="1" l="1"/>
  <c r="E12" i="1"/>
  <c r="E14" i="1" l="1"/>
  <c r="F12" i="1"/>
  <c r="E15" i="1"/>
  <c r="F15" i="1" s="1"/>
  <c r="F13" i="1"/>
  <c r="E16" i="1" l="1"/>
  <c r="F14" i="1"/>
  <c r="E17" i="1" l="1"/>
  <c r="F16" i="1"/>
  <c r="I46" i="1" l="1"/>
  <c r="I48" i="1" s="1"/>
  <c r="G46" i="1"/>
  <c r="G48" i="1" s="1"/>
  <c r="H46" i="1"/>
  <c r="H48" i="1" s="1"/>
  <c r="E18" i="1"/>
  <c r="F17" i="1"/>
  <c r="F18" i="1" l="1"/>
  <c r="E20" i="1"/>
  <c r="E19" i="1"/>
  <c r="F19" i="1" s="1"/>
  <c r="O51" i="1"/>
  <c r="F20" i="1" l="1"/>
  <c r="E21" i="1"/>
  <c r="O56" i="1" l="1"/>
  <c r="F21" i="1"/>
  <c r="E22" i="1"/>
  <c r="O27" i="1"/>
  <c r="O26" i="1"/>
  <c r="F22" i="1" l="1"/>
  <c r="E23" i="1"/>
  <c r="E25" i="1" s="1"/>
  <c r="F23" i="1" l="1"/>
  <c r="I61" i="1" s="1"/>
  <c r="G23" i="1"/>
  <c r="C76" i="1" l="1"/>
  <c r="C78" i="1" s="1"/>
  <c r="C87" i="1" s="1"/>
  <c r="J64" i="1"/>
  <c r="J66" i="1" s="1"/>
  <c r="G22" i="1"/>
  <c r="H23" i="1"/>
  <c r="K89" i="1" l="1"/>
  <c r="O78" i="1"/>
  <c r="G21" i="1"/>
  <c r="H22" i="1"/>
  <c r="G19" i="1" l="1"/>
  <c r="H19" i="1" s="1"/>
  <c r="H21" i="1"/>
  <c r="G20" i="1"/>
  <c r="K64" i="1" s="1"/>
  <c r="K66" i="1" s="1"/>
  <c r="L89" i="1" l="1"/>
  <c r="O66" i="1"/>
  <c r="O84" i="1" s="1"/>
  <c r="U60" i="1"/>
  <c r="H20" i="1"/>
  <c r="G18" i="1"/>
  <c r="H18" i="1" l="1"/>
  <c r="G17" i="1"/>
  <c r="G16" i="1" l="1"/>
  <c r="H17" i="1"/>
  <c r="G11" i="1" l="1"/>
  <c r="G15" i="1"/>
  <c r="G10" i="1"/>
  <c r="H10" i="1" s="1"/>
  <c r="H16" i="1"/>
  <c r="G14" i="1"/>
  <c r="G12" i="1" l="1"/>
  <c r="H12" i="1" s="1"/>
  <c r="H14" i="1"/>
  <c r="H15" i="1"/>
  <c r="G13" i="1"/>
  <c r="H11" i="1"/>
  <c r="G9" i="1" l="1"/>
  <c r="H9" i="1" s="1"/>
  <c r="H13" i="1"/>
  <c r="G8" i="1"/>
  <c r="G7" i="1" l="1"/>
  <c r="H7" i="1" s="1"/>
  <c r="H8" i="1"/>
</calcChain>
</file>

<file path=xl/sharedStrings.xml><?xml version="1.0" encoding="utf-8"?>
<sst xmlns="http://schemas.openxmlformats.org/spreadsheetml/2006/main" count="226" uniqueCount="168">
  <si>
    <t>Task Duration</t>
  </si>
  <si>
    <t>Early</t>
  </si>
  <si>
    <t>Latest</t>
  </si>
  <si>
    <t>Total</t>
  </si>
  <si>
    <t>Task</t>
  </si>
  <si>
    <t>Start</t>
  </si>
  <si>
    <t>Finish</t>
  </si>
  <si>
    <t>Slack</t>
  </si>
  <si>
    <t>Advertise</t>
  </si>
  <si>
    <t>Purchase boats</t>
  </si>
  <si>
    <t>Make sails</t>
  </si>
  <si>
    <t>Boat insurance</t>
  </si>
  <si>
    <t>Hire captains</t>
  </si>
  <si>
    <t>Stow supplies</t>
  </si>
  <si>
    <t>Hire Crewmembers</t>
  </si>
  <si>
    <t>Hire Navigators</t>
  </si>
  <si>
    <t>Shakedown Cruise</t>
  </si>
  <si>
    <t>No.</t>
  </si>
  <si>
    <t>Secure funding (start)</t>
  </si>
  <si>
    <t>Predecessors</t>
  </si>
  <si>
    <t>-</t>
  </si>
  <si>
    <t>2,3</t>
  </si>
  <si>
    <t>4,5,8,9</t>
  </si>
  <si>
    <t>95% confidence interval</t>
  </si>
  <si>
    <t>Voyage back from Asia</t>
  </si>
  <si>
    <t>(days)</t>
  </si>
  <si>
    <t>Probability</t>
  </si>
  <si>
    <t>Expected Duration</t>
  </si>
  <si>
    <t>Scenarios</t>
  </si>
  <si>
    <t>Success on first try</t>
  </si>
  <si>
    <t>Possible Scenarios Shakedown cruise --&gt; Following assumption that can only two shakedown cruises can be failed</t>
  </si>
  <si>
    <t>Fail ---&gt; success</t>
  </si>
  <si>
    <t>Fail ---&gt; Fail</t>
  </si>
  <si>
    <t>Expected duration from failures</t>
  </si>
  <si>
    <t>Shakedown end (milestone)</t>
  </si>
  <si>
    <t>Beta Distribution</t>
  </si>
  <si>
    <t>Duration Estimates</t>
  </si>
  <si>
    <t>Expected</t>
    <phoneticPr fontId="6" type="noConversion"/>
  </si>
  <si>
    <t>Random</t>
    <phoneticPr fontId="6" type="noConversion"/>
  </si>
  <si>
    <t>Description</t>
  </si>
  <si>
    <t>Optimistic</t>
  </si>
  <si>
    <t>Pessimistic</t>
  </si>
  <si>
    <t>Most likely</t>
  </si>
  <si>
    <t>Duration</t>
    <phoneticPr fontId="6" type="noConversion"/>
  </si>
  <si>
    <t>Variance</t>
    <phoneticPr fontId="6" type="noConversion"/>
  </si>
  <si>
    <t>Alpha</t>
    <phoneticPr fontId="6" type="noConversion"/>
  </si>
  <si>
    <t>Beta</t>
    <phoneticPr fontId="6" type="noConversion"/>
  </si>
  <si>
    <t>Seed</t>
    <phoneticPr fontId="6" type="noConversion"/>
  </si>
  <si>
    <t xml:space="preserve">                   Monte-Carlo Simulation for Repair task</t>
  </si>
  <si>
    <t>Weighted average Expected duration of project =</t>
  </si>
  <si>
    <t>End</t>
  </si>
  <si>
    <t>Voyage back to Spain</t>
  </si>
  <si>
    <t>Voyage to Asia</t>
  </si>
  <si>
    <t>Buy Life insurance</t>
  </si>
  <si>
    <t>Repairs, changes, restocks</t>
  </si>
  <si>
    <t>13,14</t>
  </si>
  <si>
    <t xml:space="preserve">Expected Project Duration = </t>
  </si>
  <si>
    <t>(Beta Distribution)</t>
  </si>
  <si>
    <t>Trial No.</t>
  </si>
  <si>
    <t>Average Duration</t>
  </si>
  <si>
    <t>Days</t>
  </si>
  <si>
    <t xml:space="preserve">sigma = </t>
  </si>
  <si>
    <t>95% Confidence interval</t>
  </si>
  <si>
    <t>Duration =</t>
  </si>
  <si>
    <t xml:space="preserve">Duration = </t>
  </si>
  <si>
    <t xml:space="preserve">3 months = </t>
  </si>
  <si>
    <t>days</t>
  </si>
  <si>
    <t xml:space="preserve">4 months = </t>
  </si>
  <si>
    <t>N~(91.26, 45.10)</t>
  </si>
  <si>
    <t xml:space="preserve">  N~(91.26,78.95)</t>
  </si>
  <si>
    <t>[3, 180]</t>
  </si>
  <si>
    <t>[0, 246]</t>
  </si>
  <si>
    <t>Project Duration Upper bound</t>
  </si>
  <si>
    <t>Project Duration Lower bound</t>
  </si>
  <si>
    <t>LB</t>
  </si>
  <si>
    <t>UB</t>
  </si>
  <si>
    <t xml:space="preserve">up until end of shakedown cruise </t>
  </si>
  <si>
    <t>Costs</t>
  </si>
  <si>
    <t>Captains are paid $310/day; navigators are paid $275/day and crewmembers are paid $80/day.</t>
  </si>
  <si>
    <t>Classified ads currently cost $5000 per ad per week</t>
  </si>
  <si>
    <t xml:space="preserve">Your salary is for a salary of $270/day; Arturo Bayliner is paid $280/day while Juan de Puca is paid at $200/day; </t>
  </si>
  <si>
    <t xml:space="preserve">probability of </t>
  </si>
  <si>
    <t>Two -way</t>
  </si>
  <si>
    <t>Cargo</t>
  </si>
  <si>
    <t>Decision</t>
  </si>
  <si>
    <t>sucessfully reaching</t>
  </si>
  <si>
    <t>prob of</t>
  </si>
  <si>
    <t>Purchase</t>
  </si>
  <si>
    <t>Cost</t>
  </si>
  <si>
    <t>Crew</t>
  </si>
  <si>
    <t>capacity</t>
  </si>
  <si>
    <t xml:space="preserve">Total </t>
  </si>
  <si>
    <t xml:space="preserve">Capacity </t>
  </si>
  <si>
    <t xml:space="preserve">Assuming crew pay will occur over expected 6 month duration </t>
  </si>
  <si>
    <t>Y/N</t>
  </si>
  <si>
    <t>Boat</t>
  </si>
  <si>
    <t>type boat</t>
  </si>
  <si>
    <t>asia</t>
  </si>
  <si>
    <t>success</t>
  </si>
  <si>
    <t>cost</t>
  </si>
  <si>
    <t>Sails</t>
  </si>
  <si>
    <t>size</t>
  </si>
  <si>
    <t>(kg)</t>
  </si>
  <si>
    <t>(Chosen)</t>
  </si>
  <si>
    <t>(chosen)</t>
  </si>
  <si>
    <t>(30days per month on avg)</t>
  </si>
  <si>
    <t>Schooner</t>
  </si>
  <si>
    <t>Carrack</t>
  </si>
  <si>
    <t>Caravel</t>
  </si>
  <si>
    <t>Captain total cost during final voyage</t>
  </si>
  <si>
    <t>Navigator total cost during final voyage</t>
  </si>
  <si>
    <t># of Ships Constrant</t>
  </si>
  <si>
    <t>Two-way Success Constraint</t>
  </si>
  <si>
    <t>Capacity Constraint</t>
  </si>
  <si>
    <t>==</t>
  </si>
  <si>
    <t>&gt;=</t>
  </si>
  <si>
    <t>Cargo Cost</t>
  </si>
  <si>
    <t>per day per crew member</t>
  </si>
  <si>
    <t>Total Cost</t>
  </si>
  <si>
    <t>DON’T CHANGE BLUE CELLS</t>
  </si>
  <si>
    <t>Boat insurance premium (30% of each boat's cost)</t>
  </si>
  <si>
    <t>My salary</t>
  </si>
  <si>
    <t>Arturo Bayliner</t>
  </si>
  <si>
    <t>Juan de Puca</t>
  </si>
  <si>
    <t xml:space="preserve">Boat </t>
  </si>
  <si>
    <t>Captain's</t>
  </si>
  <si>
    <t>Fees</t>
  </si>
  <si>
    <t>Ads</t>
  </si>
  <si>
    <t>three</t>
  </si>
  <si>
    <t>One time fee</t>
  </si>
  <si>
    <t>Barebones</t>
  </si>
  <si>
    <t>Hole foods</t>
  </si>
  <si>
    <t>Insurance</t>
  </si>
  <si>
    <t>per day for bare bones</t>
  </si>
  <si>
    <t>capacity Used</t>
  </si>
  <si>
    <t>kg per day</t>
  </si>
  <si>
    <t>per day for hole foods</t>
  </si>
  <si>
    <t>daily Rate::</t>
  </si>
  <si>
    <t>per ad per day</t>
  </si>
  <si>
    <t>/3ads/day</t>
  </si>
  <si>
    <t>Total Number of Days</t>
  </si>
  <si>
    <t>Expected Cost of project up to Shakedown result (milestone)  -- Based on ES - EF schedule</t>
  </si>
  <si>
    <t>Captain</t>
  </si>
  <si>
    <t>Life insurance</t>
  </si>
  <si>
    <t>Subtotal scenario 1</t>
  </si>
  <si>
    <t>Subtotal scenario 2</t>
  </si>
  <si>
    <t>Subtotal scenario 3</t>
  </si>
  <si>
    <t>Probabilities</t>
  </si>
  <si>
    <t>Navigators</t>
  </si>
  <si>
    <t>E[Cost] of Entire project</t>
  </si>
  <si>
    <t>Crewmembers</t>
  </si>
  <si>
    <t>per SHAKEDOWN CRUISE day (for combined crew)</t>
  </si>
  <si>
    <t>E[Cost] of project of final voyage</t>
  </si>
  <si>
    <t>Total Number of days</t>
  </si>
  <si>
    <t>E[Cost] of final preparations for final voyage (restock of food, life insurance, salaries before voyage begins)</t>
  </si>
  <si>
    <t>Per VOYAGE DAY (for combined crew)</t>
  </si>
  <si>
    <t xml:space="preserve">Weighted avg E[Cost] of project up to Shakedown result </t>
  </si>
  <si>
    <t>E[Cost] of salaries payable after the shakedown cruise and during final voyage</t>
  </si>
  <si>
    <t>E[Cost] of final preparations for final voyage (restock of food, life insurance)</t>
  </si>
  <si>
    <t>Key costs</t>
  </si>
  <si>
    <t>Total food cost</t>
  </si>
  <si>
    <t>Administrative</t>
  </si>
  <si>
    <t>Captains</t>
  </si>
  <si>
    <t>Boat (inclusive of purchase cost, sails, insurance)</t>
  </si>
  <si>
    <t xml:space="preserve">Captain's life </t>
  </si>
  <si>
    <t>insurance</t>
  </si>
  <si>
    <t>food expenditure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</si>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</sst>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_(&quot;$&quot;* #,##0.0_);_(&quot;$&quot;* \(#,##0.0\);_(&quot;$&quot;* &quot;-&quot;?_);_(@_)"/>
  </numFmts>
  <fonts count="9">
    <font>
      <sz val="11"/>
      <color theme="1"/>
      <name val="Calibri"/>
      <family val="2"/>
      <scheme val="minor"/>
    </font>
    <font>
      <b/>
      <sz val="9"/>
      <name val="Geneva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Geneva"/>
    </font>
    <font>
      <b/>
      <i/>
      <sz val="12"/>
      <color indexed="16"/>
      <name val="Geneva"/>
    </font>
    <font>
      <b/>
      <sz val="10"/>
      <name val="Geneva"/>
    </font>
    <font>
      <sz val="13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7C8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double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9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3" fillId="0" borderId="0" xfId="0" applyFont="1"/>
    <xf numFmtId="2" fontId="0" fillId="0" borderId="0" xfId="0" applyNumberFormat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 vertical="center"/>
    </xf>
    <xf numFmtId="1" fontId="0" fillId="4" borderId="3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0" xfId="0" applyBorder="1"/>
    <xf numFmtId="0" fontId="0" fillId="5" borderId="2" xfId="0" applyFill="1" applyBorder="1"/>
    <xf numFmtId="0" fontId="0" fillId="5" borderId="9" xfId="0" applyFill="1" applyBorder="1"/>
    <xf numFmtId="0" fontId="0" fillId="5" borderId="0" xfId="0" applyFill="1"/>
    <xf numFmtId="0" fontId="1" fillId="5" borderId="3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7" xfId="0" applyNumberFormat="1" applyBorder="1" applyAlignment="1">
      <alignment horizontal="center" wrapText="1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left"/>
    </xf>
    <xf numFmtId="0" fontId="7" fillId="0" borderId="0" xfId="0" applyFont="1"/>
    <xf numFmtId="0" fontId="0" fillId="3" borderId="0" xfId="0" applyFill="1"/>
    <xf numFmtId="165" fontId="0" fillId="0" borderId="0" xfId="1" applyNumberFormat="1" applyFont="1"/>
    <xf numFmtId="165" fontId="0" fillId="0" borderId="0" xfId="0" applyNumberFormat="1"/>
    <xf numFmtId="6" fontId="0" fillId="0" borderId="0" xfId="0" applyNumberFormat="1"/>
    <xf numFmtId="0" fontId="0" fillId="9" borderId="0" xfId="0" applyFill="1"/>
    <xf numFmtId="0" fontId="3" fillId="0" borderId="0" xfId="0" quotePrefix="1" applyFont="1" applyAlignment="1">
      <alignment horizontal="center"/>
    </xf>
    <xf numFmtId="0" fontId="0" fillId="10" borderId="0" xfId="0" applyFill="1"/>
    <xf numFmtId="0" fontId="3" fillId="0" borderId="0" xfId="0" applyFont="1" applyAlignment="1">
      <alignment horizontal="center"/>
    </xf>
    <xf numFmtId="0" fontId="3" fillId="9" borderId="0" xfId="0" applyFont="1" applyFill="1"/>
    <xf numFmtId="165" fontId="0" fillId="11" borderId="0" xfId="0" applyNumberFormat="1" applyFill="1"/>
    <xf numFmtId="0" fontId="8" fillId="0" borderId="0" xfId="0" applyFont="1"/>
    <xf numFmtId="0" fontId="0" fillId="12" borderId="0" xfId="0" applyFill="1"/>
    <xf numFmtId="166" fontId="0" fillId="0" borderId="0" xfId="0" applyNumberFormat="1"/>
    <xf numFmtId="0" fontId="0" fillId="13" borderId="0" xfId="0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14" borderId="0" xfId="0" applyNumberFormat="1" applyFill="1"/>
    <xf numFmtId="44" fontId="0" fillId="14" borderId="0" xfId="0" applyNumberFormat="1" applyFill="1"/>
    <xf numFmtId="44" fontId="0" fillId="10" borderId="0" xfId="1" applyFont="1" applyFill="1"/>
    <xf numFmtId="165" fontId="0" fillId="13" borderId="0" xfId="1" applyNumberFormat="1" applyFont="1" applyFill="1"/>
    <xf numFmtId="44" fontId="0" fillId="15" borderId="0" xfId="0" applyNumberFormat="1" applyFill="1"/>
    <xf numFmtId="44" fontId="0" fillId="16" borderId="0" xfId="1" applyFont="1" applyFill="1"/>
    <xf numFmtId="44" fontId="0" fillId="16" borderId="0" xfId="0" applyNumberFormat="1" applyFill="1"/>
    <xf numFmtId="2" fontId="0" fillId="0" borderId="0" xfId="0" applyNumberFormat="1" applyFill="1"/>
    <xf numFmtId="0" fontId="0" fillId="0" borderId="0" xfId="0" applyFill="1"/>
    <xf numFmtId="44" fontId="0" fillId="17" borderId="0" xfId="1" applyFont="1" applyFill="1"/>
    <xf numFmtId="44" fontId="0" fillId="17" borderId="0" xfId="0" applyNumberFormat="1" applyFill="1"/>
    <xf numFmtId="44" fontId="0" fillId="0" borderId="0" xfId="1" applyFont="1" applyFill="1"/>
    <xf numFmtId="44" fontId="0" fillId="0" borderId="0" xfId="1" applyFont="1"/>
    <xf numFmtId="44" fontId="0" fillId="0" borderId="0" xfId="0" applyNumberFormat="1"/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9" xfId="0" applyBorder="1"/>
    <xf numFmtId="0" fontId="0" fillId="4" borderId="25" xfId="0" applyFill="1" applyBorder="1" applyAlignment="1">
      <alignment horizontal="center"/>
    </xf>
    <xf numFmtId="2" fontId="0" fillId="4" borderId="24" xfId="0" applyNumberForma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0" fontId="0" fillId="0" borderId="26" xfId="0" applyBorder="1"/>
    <xf numFmtId="0" fontId="0" fillId="2" borderId="3" xfId="0" applyFill="1" applyBorder="1"/>
    <xf numFmtId="0" fontId="0" fillId="0" borderId="27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466024</xdr:colOff>
      <xdr:row>100</xdr:row>
      <xdr:rowOff>44041</xdr:rowOff>
    </xdr:from>
    <xdr:to>
      <xdr:col>7</xdr:col>
      <xdr:colOff>165581</xdr:colOff>
      <xdr:row>119</xdr:row>
      <xdr:rowOff>14958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0C47A-1323-4917-9B91-C1D0628C8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08" y="18820203"/>
          <a:ext cx="5973344" cy="3406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343520</xdr:colOff>
      <xdr:row>99</xdr:row>
      <xdr:rowOff>81361</xdr:rowOff>
    </xdr:from>
    <xdr:to>
      <xdr:col>17</xdr:col>
      <xdr:colOff>236692</xdr:colOff>
      <xdr:row>120</xdr:row>
      <xdr:rowOff>46667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0B4C8-4882-4BED-AEF2-1EC0B2FD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8591" y="18676722"/>
          <a:ext cx="8056327" cy="3762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530198</xdr:colOff>
      <xdr:row>6</xdr:row>
      <xdr:rowOff>161365</xdr:rowOff>
    </xdr:from>
    <xdr:to>
      <xdr:col>21</xdr:col>
      <xdr:colOff>347275</xdr:colOff>
      <xdr:row>25</xdr:row>
      <xdr:rowOff>109230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E84DD6-B32B-4007-AF91-6483B95F7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4968" y="1375442"/>
          <a:ext cx="5964304" cy="3474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3BAE-B27F-4140-B36A-9EB84F5239BC}">
  <dimension ref="A1:U89"/>
  <sheetViews>
    <sheetView tabSelected="1" zoomScale="85" zoomScaleNormal="85" workbookViewId="0">
      <selection activeCell="L32" sqref="L32"/>
    </sheetView>
  </sheetViews>
  <sheetFormatPr defaultRowHeight="14.55"/>
  <cols>
    <col min="1" max="1" width="10.6640625" customWidth="1"/>
    <col min="2" max="2" width="26.88671875" customWidth="1"/>
    <col min="3" max="3" width="13.44140625" customWidth="1"/>
    <col min="4" max="4" width="13.109375" customWidth="1"/>
    <col min="5" max="5" width="11.21875" customWidth="1"/>
    <col min="6" max="6" width="12.21875" bestFit="1" customWidth="1"/>
    <col min="7" max="7" width="13.6640625" bestFit="1" customWidth="1"/>
    <col min="8" max="8" width="13.21875" customWidth="1"/>
    <col min="9" max="9" width="12.21875" bestFit="1" customWidth="1"/>
    <col min="10" max="10" width="12.109375" bestFit="1" customWidth="1"/>
    <col min="11" max="11" width="11.33203125" customWidth="1"/>
    <col min="12" max="12" width="11.77734375" customWidth="1"/>
    <col min="13" max="13" width="16.44140625" customWidth="1"/>
    <col min="14" max="14" width="9.88671875" customWidth="1"/>
    <col min="15" max="15" width="13.109375" customWidth="1"/>
    <col min="18" max="18" width="13.77734375" customWidth="1"/>
    <col min="21" max="21" width="12.109375" bestFit="1" customWidth="1"/>
  </cols>
  <sheetData>
    <row r="1" spans="1:21">
      <c r="L1" s="15" t="s">
        <v>30</v>
      </c>
      <c r="M1" s="15"/>
    </row>
    <row r="2" spans="1:21">
      <c r="L2" s="15"/>
      <c r="M2" s="15"/>
    </row>
    <row r="3" spans="1:21">
      <c r="M3" t="s">
        <v>28</v>
      </c>
      <c r="N3" t="s">
        <v>26</v>
      </c>
      <c r="O3" t="s">
        <v>27</v>
      </c>
    </row>
    <row r="4" spans="1:21">
      <c r="A4" s="28"/>
      <c r="B4" s="28"/>
      <c r="D4" s="28"/>
      <c r="E4" s="28"/>
      <c r="F4" s="28"/>
      <c r="G4" s="28"/>
      <c r="H4" s="28"/>
      <c r="L4">
        <v>1</v>
      </c>
      <c r="M4" t="s">
        <v>29</v>
      </c>
      <c r="N4">
        <v>0.95</v>
      </c>
      <c r="O4" s="16">
        <v>59.5</v>
      </c>
    </row>
    <row r="5" spans="1:21">
      <c r="A5" s="107"/>
      <c r="B5" s="107"/>
      <c r="C5" s="2" t="s">
        <v>0</v>
      </c>
      <c r="D5" s="3" t="s">
        <v>19</v>
      </c>
      <c r="E5" s="3" t="s">
        <v>1</v>
      </c>
      <c r="F5" s="99" t="s">
        <v>1</v>
      </c>
      <c r="G5" s="99" t="s">
        <v>2</v>
      </c>
      <c r="H5" s="4" t="s">
        <v>3</v>
      </c>
      <c r="L5">
        <v>2</v>
      </c>
      <c r="M5" t="s">
        <v>31</v>
      </c>
      <c r="N5">
        <f>0.05*0.95</f>
        <v>4.7500000000000001E-2</v>
      </c>
      <c r="O5" s="16">
        <f>(O4*2)*N5</f>
        <v>5.6524999999999999</v>
      </c>
    </row>
    <row r="6" spans="1:21" ht="15.15" thickBot="1">
      <c r="A6" s="5" t="s">
        <v>17</v>
      </c>
      <c r="B6" s="5" t="s">
        <v>4</v>
      </c>
      <c r="C6" s="6" t="s">
        <v>25</v>
      </c>
      <c r="D6" s="5"/>
      <c r="E6" s="5" t="s">
        <v>5</v>
      </c>
      <c r="F6" s="6" t="s">
        <v>6</v>
      </c>
      <c r="G6" s="6" t="s">
        <v>6</v>
      </c>
      <c r="H6" s="7" t="s">
        <v>7</v>
      </c>
      <c r="L6">
        <v>3</v>
      </c>
      <c r="M6" t="s">
        <v>32</v>
      </c>
      <c r="N6">
        <f>0.05*0.05</f>
        <v>2.5000000000000005E-3</v>
      </c>
      <c r="O6" s="16">
        <f>(O4*3)*N6</f>
        <v>0.44625000000000009</v>
      </c>
    </row>
    <row r="7" spans="1:21" ht="15.15" thickTop="1">
      <c r="A7" s="108">
        <v>1</v>
      </c>
      <c r="B7" s="19" t="s">
        <v>18</v>
      </c>
      <c r="C7" s="20">
        <v>0</v>
      </c>
      <c r="D7" s="24" t="s">
        <v>20</v>
      </c>
      <c r="E7" s="19">
        <v>0</v>
      </c>
      <c r="F7" s="20">
        <f>E7+C7</f>
        <v>0</v>
      </c>
      <c r="G7" s="20">
        <f ca="1">MIN(G8-C8,G9-C9)</f>
        <v>-7.1054273576010019E-15</v>
      </c>
      <c r="H7" s="22">
        <f t="shared" ref="H7:H23" ca="1" si="0">G7-E7-C7</f>
        <v>-7.1054273576010019E-15</v>
      </c>
      <c r="O7" s="16"/>
    </row>
    <row r="8" spans="1:21">
      <c r="A8" s="100">
        <v>2</v>
      </c>
      <c r="B8" s="19" t="s">
        <v>8</v>
      </c>
      <c r="C8" s="20">
        <f>7*2</f>
        <v>14</v>
      </c>
      <c r="D8" s="24">
        <v>1</v>
      </c>
      <c r="E8" s="25">
        <v>0</v>
      </c>
      <c r="F8" s="20">
        <f t="shared" ref="F8:F23" si="1">E8+C8</f>
        <v>14</v>
      </c>
      <c r="G8" s="20">
        <f ca="1">MIN(G13-C13,G12-C12)</f>
        <v>13.999999999999993</v>
      </c>
      <c r="H8" s="22">
        <f t="shared" ca="1" si="0"/>
        <v>0</v>
      </c>
      <c r="K8" t="s">
        <v>49</v>
      </c>
      <c r="O8" s="16">
        <f>SUM(O4:O6)</f>
        <v>65.59875000000001</v>
      </c>
      <c r="Q8" s="16">
        <f>O8-O4</f>
        <v>6.0987500000000097</v>
      </c>
    </row>
    <row r="9" spans="1:21">
      <c r="A9" s="100">
        <v>3</v>
      </c>
      <c r="B9" s="8" t="s">
        <v>9</v>
      </c>
      <c r="C9" s="9">
        <v>0</v>
      </c>
      <c r="D9" s="14">
        <v>1</v>
      </c>
      <c r="E9" s="12">
        <v>0</v>
      </c>
      <c r="F9" s="55">
        <f t="shared" si="1"/>
        <v>0</v>
      </c>
      <c r="G9" s="9">
        <f ca="1">MIN(G11-C11,G10-C10,G12-C12)</f>
        <v>13.999999999999993</v>
      </c>
      <c r="H9" s="11">
        <f t="shared" ca="1" si="0"/>
        <v>13.999999999999993</v>
      </c>
      <c r="K9" t="s">
        <v>76</v>
      </c>
      <c r="U9">
        <f>16*7</f>
        <v>112</v>
      </c>
    </row>
    <row r="10" spans="1:21">
      <c r="A10" s="100">
        <v>4</v>
      </c>
      <c r="B10" s="8" t="s">
        <v>10</v>
      </c>
      <c r="C10" s="9">
        <f>4*7</f>
        <v>28</v>
      </c>
      <c r="D10" s="14">
        <v>3</v>
      </c>
      <c r="E10" s="12">
        <v>0</v>
      </c>
      <c r="F10" s="55">
        <f t="shared" si="1"/>
        <v>28</v>
      </c>
      <c r="G10" s="9">
        <f ca="1">G16-C16</f>
        <v>41.999999999999993</v>
      </c>
      <c r="H10" s="11">
        <f t="shared" ca="1" si="0"/>
        <v>13.999999999999993</v>
      </c>
    </row>
    <row r="11" spans="1:21">
      <c r="A11">
        <v>5</v>
      </c>
      <c r="B11" s="8" t="s">
        <v>11</v>
      </c>
      <c r="C11" s="9">
        <f>7</f>
        <v>7</v>
      </c>
      <c r="D11" s="14">
        <v>3</v>
      </c>
      <c r="E11" s="12">
        <v>0</v>
      </c>
      <c r="F11" s="55">
        <f t="shared" si="1"/>
        <v>7</v>
      </c>
      <c r="G11" s="9">
        <f ca="1">G16-C16</f>
        <v>41.999999999999993</v>
      </c>
      <c r="H11" s="11">
        <f t="shared" ca="1" si="0"/>
        <v>34.999999999999993</v>
      </c>
      <c r="M11" t="s">
        <v>65</v>
      </c>
      <c r="O11">
        <f>30.42*3</f>
        <v>91.26</v>
      </c>
      <c r="P11" t="s">
        <v>66</v>
      </c>
    </row>
    <row r="12" spans="1:21">
      <c r="A12">
        <v>6</v>
      </c>
      <c r="B12" s="19" t="s">
        <v>12</v>
      </c>
      <c r="C12" s="20">
        <f>2*7</f>
        <v>14</v>
      </c>
      <c r="D12" s="24" t="s">
        <v>21</v>
      </c>
      <c r="E12" s="25">
        <f>MAX(E8+C8,E9+C9)</f>
        <v>14</v>
      </c>
      <c r="F12" s="20">
        <f t="shared" si="1"/>
        <v>28</v>
      </c>
      <c r="G12" s="20">
        <f ca="1">G14-C14</f>
        <v>27.999999999999993</v>
      </c>
      <c r="H12" s="22">
        <f t="shared" ca="1" si="0"/>
        <v>0</v>
      </c>
      <c r="M12" t="s">
        <v>67</v>
      </c>
      <c r="O12">
        <f>30.42*4</f>
        <v>121.68</v>
      </c>
      <c r="P12" t="s">
        <v>66</v>
      </c>
    </row>
    <row r="13" spans="1:21">
      <c r="A13">
        <v>7</v>
      </c>
      <c r="B13" s="8" t="s">
        <v>14</v>
      </c>
      <c r="C13" s="9">
        <v>14</v>
      </c>
      <c r="D13" s="14">
        <v>2</v>
      </c>
      <c r="E13" s="12">
        <f>E8+C8</f>
        <v>14</v>
      </c>
      <c r="F13" s="55">
        <f t="shared" si="1"/>
        <v>28</v>
      </c>
      <c r="G13" s="9">
        <f ca="1">G15-C15</f>
        <v>40.999999999999993</v>
      </c>
      <c r="H13" s="11">
        <f t="shared" ca="1" si="0"/>
        <v>12.999999999999993</v>
      </c>
    </row>
    <row r="14" spans="1:21">
      <c r="A14">
        <v>8</v>
      </c>
      <c r="B14" s="19" t="s">
        <v>15</v>
      </c>
      <c r="C14" s="20">
        <v>14</v>
      </c>
      <c r="D14" s="95">
        <v>6</v>
      </c>
      <c r="E14" s="23">
        <f>E12+C12</f>
        <v>28</v>
      </c>
      <c r="F14" s="20">
        <f t="shared" si="1"/>
        <v>42</v>
      </c>
      <c r="G14" s="20">
        <f ca="1">G16-C16</f>
        <v>41.999999999999993</v>
      </c>
      <c r="H14" s="22">
        <f t="shared" ca="1" si="0"/>
        <v>0</v>
      </c>
    </row>
    <row r="15" spans="1:21">
      <c r="A15">
        <v>9</v>
      </c>
      <c r="B15" s="8" t="s">
        <v>13</v>
      </c>
      <c r="C15" s="9">
        <v>1</v>
      </c>
      <c r="D15" s="96">
        <v>7</v>
      </c>
      <c r="E15" s="10">
        <f>E13+C13</f>
        <v>28</v>
      </c>
      <c r="F15" s="55">
        <f t="shared" si="1"/>
        <v>29</v>
      </c>
      <c r="G15" s="9">
        <f ca="1">G16-C16</f>
        <v>41.999999999999993</v>
      </c>
      <c r="H15" s="11">
        <f t="shared" ca="1" si="0"/>
        <v>12.999999999999993</v>
      </c>
      <c r="K15" t="s">
        <v>52</v>
      </c>
      <c r="Q15" t="s">
        <v>24</v>
      </c>
    </row>
    <row r="16" spans="1:21">
      <c r="A16">
        <v>10</v>
      </c>
      <c r="B16" s="19" t="s">
        <v>16</v>
      </c>
      <c r="C16" s="20">
        <f>(14+21)/2</f>
        <v>17.5</v>
      </c>
      <c r="D16" s="97" t="s">
        <v>22</v>
      </c>
      <c r="E16" s="21">
        <f>MAX(E11+C11,E10+C10,E14+C14,E15+C15)</f>
        <v>42</v>
      </c>
      <c r="F16" s="20">
        <f t="shared" si="1"/>
        <v>59.5</v>
      </c>
      <c r="G16" s="20">
        <f ca="1">G17-C17</f>
        <v>59.499999999999993</v>
      </c>
      <c r="H16" s="22">
        <f t="shared" ca="1" si="0"/>
        <v>0</v>
      </c>
      <c r="K16" s="62" t="s">
        <v>69</v>
      </c>
      <c r="Q16" t="s">
        <v>68</v>
      </c>
    </row>
    <row r="17" spans="1:18">
      <c r="A17">
        <v>11</v>
      </c>
      <c r="B17" s="94" t="s">
        <v>33</v>
      </c>
      <c r="C17" s="20">
        <f>6.1</f>
        <v>6.1</v>
      </c>
      <c r="D17" s="94">
        <v>10</v>
      </c>
      <c r="E17" s="21">
        <f>E16+C16</f>
        <v>59.5</v>
      </c>
      <c r="F17" s="20">
        <f t="shared" si="1"/>
        <v>65.599999999999994</v>
      </c>
      <c r="G17" s="20">
        <f ca="1">G18-C18</f>
        <v>65.599999999999994</v>
      </c>
      <c r="H17" s="22">
        <f t="shared" ca="1" si="0"/>
        <v>0</v>
      </c>
    </row>
    <row r="18" spans="1:18">
      <c r="A18">
        <v>12</v>
      </c>
      <c r="B18" s="19" t="s">
        <v>34</v>
      </c>
      <c r="C18" s="20">
        <v>0</v>
      </c>
      <c r="D18" s="97">
        <v>11</v>
      </c>
      <c r="E18" s="21">
        <f>E17+C17</f>
        <v>65.599999999999994</v>
      </c>
      <c r="F18" s="20">
        <f t="shared" si="1"/>
        <v>65.599999999999994</v>
      </c>
      <c r="G18" s="20">
        <f ca="1">MIN(G20-C20,G19-C19)</f>
        <v>65.599999999999994</v>
      </c>
      <c r="H18" s="22">
        <f t="shared" ca="1" si="0"/>
        <v>0</v>
      </c>
      <c r="J18" s="15" t="s">
        <v>61</v>
      </c>
      <c r="K18" s="16">
        <f>(O12-O11)/_xlfn.NORM.S.INV(0.65)</f>
        <v>78.947272859946224</v>
      </c>
      <c r="P18" s="15" t="s">
        <v>61</v>
      </c>
      <c r="Q18">
        <f>(O12-O11)/_xlfn.NORM.S.INV(0.75)</f>
        <v>45.100759486940397</v>
      </c>
    </row>
    <row r="19" spans="1:18">
      <c r="A19">
        <v>13</v>
      </c>
      <c r="B19" s="17" t="s">
        <v>53</v>
      </c>
      <c r="C19" s="55">
        <v>7</v>
      </c>
      <c r="D19" s="98">
        <v>12</v>
      </c>
      <c r="E19" s="56">
        <f t="shared" ref="E19" si="2">E18+C18</f>
        <v>65.599999999999994</v>
      </c>
      <c r="F19" s="55">
        <f t="shared" si="1"/>
        <v>72.599999999999994</v>
      </c>
      <c r="G19" s="55">
        <f ca="1">G21-C21</f>
        <v>92.673112950239258</v>
      </c>
      <c r="H19" s="57">
        <f t="shared" ca="1" si="0"/>
        <v>20.073112950239263</v>
      </c>
    </row>
    <row r="20" spans="1:18">
      <c r="A20">
        <v>14</v>
      </c>
      <c r="B20" s="19" t="s">
        <v>54</v>
      </c>
      <c r="C20" s="20">
        <f ca="1">'simulation for repair task'!B419</f>
        <v>27.07311295023927</v>
      </c>
      <c r="D20" s="97">
        <v>12</v>
      </c>
      <c r="E20" s="21">
        <f>E18+C18</f>
        <v>65.599999999999994</v>
      </c>
      <c r="F20" s="20">
        <f t="shared" ca="1" si="1"/>
        <v>92.673112950239272</v>
      </c>
      <c r="G20" s="20">
        <f ca="1">G21-C21</f>
        <v>92.673112950239258</v>
      </c>
      <c r="H20" s="22">
        <f t="shared" ca="1" si="0"/>
        <v>0</v>
      </c>
      <c r="K20" t="s">
        <v>62</v>
      </c>
      <c r="Q20" t="s">
        <v>23</v>
      </c>
    </row>
    <row r="21" spans="1:18">
      <c r="A21">
        <v>15</v>
      </c>
      <c r="B21" s="19" t="s">
        <v>52</v>
      </c>
      <c r="C21" s="20">
        <f>91.26</f>
        <v>91.26</v>
      </c>
      <c r="D21" s="97" t="s">
        <v>55</v>
      </c>
      <c r="E21" s="21">
        <f ca="1">MAX(E20+C20,E19+C19)</f>
        <v>92.673112950239272</v>
      </c>
      <c r="F21" s="20">
        <f t="shared" ca="1" si="1"/>
        <v>183.93311295023926</v>
      </c>
      <c r="G21" s="20">
        <f ca="1">G22-C22</f>
        <v>183.93311295023926</v>
      </c>
      <c r="H21" s="22">
        <f t="shared" ca="1" si="0"/>
        <v>0</v>
      </c>
      <c r="K21" t="s">
        <v>74</v>
      </c>
      <c r="L21" t="s">
        <v>75</v>
      </c>
      <c r="M21" s="16"/>
      <c r="N21" s="16"/>
      <c r="O21" s="16"/>
      <c r="P21" s="16"/>
      <c r="Q21" t="s">
        <v>74</v>
      </c>
      <c r="R21" t="s">
        <v>75</v>
      </c>
    </row>
    <row r="22" spans="1:18">
      <c r="A22">
        <v>16</v>
      </c>
      <c r="B22" s="19" t="s">
        <v>51</v>
      </c>
      <c r="C22" s="20">
        <f>91.26</f>
        <v>91.26</v>
      </c>
      <c r="D22" s="97">
        <v>15</v>
      </c>
      <c r="E22" s="21">
        <f ca="1">E21+C21</f>
        <v>183.93311295023926</v>
      </c>
      <c r="F22" s="20">
        <f t="shared" ca="1" si="1"/>
        <v>275.19311295023925</v>
      </c>
      <c r="G22" s="20">
        <f ca="1">G23-C23</f>
        <v>275.19311295023925</v>
      </c>
      <c r="H22" s="22">
        <f t="shared" ca="1" si="0"/>
        <v>0</v>
      </c>
      <c r="K22" s="16">
        <f>$O$11-1.96*$K$18</f>
        <v>-63.47665480549459</v>
      </c>
      <c r="L22" s="16">
        <f>$O$11+1.96*$K$18</f>
        <v>245.99665480549459</v>
      </c>
      <c r="Q22" s="16">
        <f>$O$11-1.96*$Q$18</f>
        <v>2.8625114055968339</v>
      </c>
      <c r="R22" s="16">
        <f>$O$11+1.96*$Q$18</f>
        <v>179.65748859440316</v>
      </c>
    </row>
    <row r="23" spans="1:18">
      <c r="A23" s="106">
        <v>17</v>
      </c>
      <c r="B23" s="101" t="s">
        <v>50</v>
      </c>
      <c r="C23" s="102">
        <v>0</v>
      </c>
      <c r="D23" s="103">
        <v>16</v>
      </c>
      <c r="E23" s="104">
        <f ca="1">E22+C22</f>
        <v>275.19311295023925</v>
      </c>
      <c r="F23" s="102">
        <f t="shared" ca="1" si="1"/>
        <v>275.19311295023925</v>
      </c>
      <c r="G23" s="102">
        <f ca="1">E23</f>
        <v>275.19311295023925</v>
      </c>
      <c r="H23" s="105">
        <f t="shared" ca="1" si="0"/>
        <v>0</v>
      </c>
    </row>
    <row r="24" spans="1:18">
      <c r="K24" t="s">
        <v>63</v>
      </c>
      <c r="L24" t="s">
        <v>71</v>
      </c>
      <c r="Q24" t="s">
        <v>64</v>
      </c>
      <c r="R24" t="s">
        <v>70</v>
      </c>
    </row>
    <row r="25" spans="1:18">
      <c r="C25" s="15" t="s">
        <v>56</v>
      </c>
      <c r="E25" s="61">
        <f ca="1">E23</f>
        <v>275.19311295023925</v>
      </c>
      <c r="F25" s="15" t="s">
        <v>60</v>
      </c>
    </row>
    <row r="26" spans="1:18">
      <c r="L26" t="s">
        <v>72</v>
      </c>
      <c r="O26" s="16">
        <f ca="1">E21+L22+R22</f>
        <v>518.32725635013708</v>
      </c>
    </row>
    <row r="27" spans="1:18">
      <c r="L27" t="s">
        <v>73</v>
      </c>
      <c r="O27" s="16">
        <f ca="1">E21+0+3</f>
        <v>95.673112950239272</v>
      </c>
    </row>
    <row r="28" spans="1:18">
      <c r="D28">
        <f>91.26*2</f>
        <v>182.52</v>
      </c>
    </row>
    <row r="32" spans="1:18">
      <c r="B32" s="15" t="s">
        <v>77</v>
      </c>
      <c r="L32">
        <f>91.26+ 78.95 * 2</f>
        <v>249.16000000000003</v>
      </c>
    </row>
    <row r="33" spans="1:15">
      <c r="B33" t="s">
        <v>80</v>
      </c>
    </row>
    <row r="34" spans="1:15">
      <c r="B34" t="s">
        <v>79</v>
      </c>
      <c r="E34">
        <f>5000/7</f>
        <v>714.28571428571433</v>
      </c>
      <c r="F34" t="s">
        <v>138</v>
      </c>
    </row>
    <row r="35" spans="1:15">
      <c r="B35" t="s">
        <v>78</v>
      </c>
    </row>
    <row r="36" spans="1:15">
      <c r="B36" t="s">
        <v>120</v>
      </c>
      <c r="I36" s="77" t="s">
        <v>129</v>
      </c>
      <c r="J36" s="77"/>
    </row>
    <row r="39" spans="1:15" ht="32.1">
      <c r="A39" s="74" t="s">
        <v>141</v>
      </c>
    </row>
    <row r="40" spans="1:15">
      <c r="G40" s="62" t="s">
        <v>128</v>
      </c>
    </row>
    <row r="41" spans="1:15">
      <c r="F41" t="s">
        <v>128</v>
      </c>
      <c r="G41" t="s">
        <v>125</v>
      </c>
      <c r="H41" s="62" t="s">
        <v>128</v>
      </c>
      <c r="I41">
        <v>125</v>
      </c>
      <c r="J41" t="s">
        <v>124</v>
      </c>
      <c r="L41" t="s">
        <v>95</v>
      </c>
    </row>
    <row r="42" spans="1:15">
      <c r="C42" t="s">
        <v>121</v>
      </c>
      <c r="D42" t="s">
        <v>122</v>
      </c>
      <c r="E42" t="s">
        <v>123</v>
      </c>
      <c r="F42" t="s">
        <v>127</v>
      </c>
      <c r="G42" t="s">
        <v>126</v>
      </c>
      <c r="H42" t="s">
        <v>148</v>
      </c>
      <c r="I42" t="s">
        <v>150</v>
      </c>
      <c r="J42" t="s">
        <v>87</v>
      </c>
      <c r="K42" t="s">
        <v>100</v>
      </c>
      <c r="L42" t="s">
        <v>132</v>
      </c>
      <c r="M42" t="s">
        <v>130</v>
      </c>
      <c r="N42" t="s">
        <v>131</v>
      </c>
    </row>
    <row r="43" spans="1:15">
      <c r="B43" t="s">
        <v>137</v>
      </c>
      <c r="C43">
        <v>270</v>
      </c>
      <c r="D43">
        <v>280</v>
      </c>
      <c r="E43">
        <v>200</v>
      </c>
      <c r="F43">
        <f>E34*3</f>
        <v>2142.8571428571431</v>
      </c>
      <c r="G43">
        <f>310*3</f>
        <v>930</v>
      </c>
      <c r="H43">
        <f>3*275</f>
        <v>825</v>
      </c>
      <c r="I43">
        <f>80*125</f>
        <v>10000</v>
      </c>
      <c r="J43" s="77">
        <v>137000</v>
      </c>
      <c r="K43" s="77">
        <f>0.1*J43</f>
        <v>13700</v>
      </c>
      <c r="L43" s="77">
        <f>0.3*J43</f>
        <v>41100</v>
      </c>
      <c r="M43">
        <v>312.5</v>
      </c>
      <c r="N43">
        <v>1250</v>
      </c>
    </row>
    <row r="44" spans="1:15">
      <c r="A44" s="75"/>
      <c r="B44" s="75"/>
      <c r="C44" s="75"/>
      <c r="D44" s="75"/>
      <c r="E44" s="75"/>
      <c r="F44" s="75" t="s">
        <v>139</v>
      </c>
      <c r="G44" s="75"/>
      <c r="H44" s="75"/>
      <c r="I44" s="75"/>
      <c r="J44" s="75"/>
      <c r="K44" s="75"/>
      <c r="L44" s="75"/>
      <c r="M44" s="75" t="s">
        <v>151</v>
      </c>
      <c r="N44" s="75"/>
      <c r="O44" s="75"/>
    </row>
    <row r="46" spans="1:15">
      <c r="B46" t="s">
        <v>140</v>
      </c>
      <c r="C46" s="78">
        <v>59.5</v>
      </c>
      <c r="D46" s="78">
        <v>59.5</v>
      </c>
      <c r="E46" s="78">
        <v>59.5</v>
      </c>
      <c r="F46" s="78">
        <f>2*7</f>
        <v>14</v>
      </c>
      <c r="G46" s="79">
        <f>F16-F12</f>
        <v>31.5</v>
      </c>
      <c r="H46" s="79">
        <f>F16-F14</f>
        <v>17.5</v>
      </c>
      <c r="I46" s="16">
        <f>F16-F13</f>
        <v>31.5</v>
      </c>
      <c r="J46" s="78" t="s">
        <v>20</v>
      </c>
      <c r="K46" s="78" t="s">
        <v>20</v>
      </c>
      <c r="L46" s="78" t="s">
        <v>20</v>
      </c>
      <c r="M46" s="79">
        <f>C16</f>
        <v>17.5</v>
      </c>
      <c r="N46" s="79">
        <v>17.5</v>
      </c>
    </row>
    <row r="47" spans="1:15">
      <c r="C47" s="78"/>
      <c r="D47" s="78"/>
      <c r="E47" s="78"/>
      <c r="F47" s="78"/>
      <c r="G47" s="78"/>
      <c r="H47" s="78"/>
      <c r="J47" s="78"/>
      <c r="K47" s="78"/>
      <c r="L47" s="78"/>
      <c r="M47" s="78"/>
      <c r="N47" s="78"/>
    </row>
    <row r="48" spans="1:15">
      <c r="A48" t="s">
        <v>118</v>
      </c>
      <c r="C48" s="65">
        <f>C43*C46</f>
        <v>16065</v>
      </c>
      <c r="D48" s="65">
        <f t="shared" ref="D48:I48" si="3">D43*D46</f>
        <v>16660</v>
      </c>
      <c r="E48" s="65">
        <f t="shared" si="3"/>
        <v>11900</v>
      </c>
      <c r="F48" s="65">
        <f t="shared" si="3"/>
        <v>30000.000000000004</v>
      </c>
      <c r="G48" s="65">
        <f t="shared" si="3"/>
        <v>29295</v>
      </c>
      <c r="H48" s="65">
        <f t="shared" si="3"/>
        <v>14437.5</v>
      </c>
      <c r="I48" s="65">
        <f t="shared" si="3"/>
        <v>315000</v>
      </c>
      <c r="J48" s="83">
        <v>137000</v>
      </c>
      <c r="K48" s="83">
        <f>0.1*J48</f>
        <v>13700</v>
      </c>
      <c r="L48" s="83">
        <f>0.3*J48</f>
        <v>41100</v>
      </c>
      <c r="M48" s="65">
        <f>M43*M46</f>
        <v>5468.75</v>
      </c>
      <c r="N48" s="65">
        <f>N43*N46</f>
        <v>21875</v>
      </c>
    </row>
    <row r="50" spans="1:21">
      <c r="M50" t="s">
        <v>28</v>
      </c>
      <c r="R50" t="s">
        <v>147</v>
      </c>
    </row>
    <row r="51" spans="1:21">
      <c r="L51">
        <v>1</v>
      </c>
      <c r="M51" t="s">
        <v>29</v>
      </c>
      <c r="O51" s="80">
        <f>SUM(C48:N48)</f>
        <v>652501.25</v>
      </c>
      <c r="P51" t="s">
        <v>144</v>
      </c>
      <c r="R51">
        <v>0.95</v>
      </c>
    </row>
    <row r="52" spans="1:21">
      <c r="L52">
        <v>2</v>
      </c>
      <c r="M52" t="s">
        <v>31</v>
      </c>
      <c r="O52" s="81">
        <f>SUM(J48:N48)/3+O51+SUM(C48:I48)</f>
        <v>1158906.6666666665</v>
      </c>
      <c r="P52" t="s">
        <v>145</v>
      </c>
      <c r="R52">
        <f>0.05*0.95</f>
        <v>4.7500000000000001E-2</v>
      </c>
    </row>
    <row r="53" spans="1:21">
      <c r="L53">
        <v>3</v>
      </c>
      <c r="M53" t="s">
        <v>32</v>
      </c>
      <c r="O53" s="81">
        <f>O52+SUM(J48:N48)/3+SUM(C48:I48)</f>
        <v>1665312.0833333333</v>
      </c>
      <c r="P53" t="s">
        <v>146</v>
      </c>
      <c r="R53">
        <f>0.05*0.05</f>
        <v>2.5000000000000005E-3</v>
      </c>
      <c r="U53" s="92">
        <f>SUMPRODUCT(O52:O53,R52:R53)</f>
        <v>59211.346874999988</v>
      </c>
    </row>
    <row r="56" spans="1:21">
      <c r="O56" s="82">
        <f>SUMPRODUCT(O51:O53,R51:R53)</f>
        <v>679087.53437499993</v>
      </c>
      <c r="P56" t="s">
        <v>156</v>
      </c>
    </row>
    <row r="57" spans="1:21" ht="32.1">
      <c r="A57" s="74" t="s">
        <v>158</v>
      </c>
    </row>
    <row r="59" spans="1:21">
      <c r="I59" t="s">
        <v>142</v>
      </c>
      <c r="U59" t="s">
        <v>160</v>
      </c>
    </row>
    <row r="60" spans="1:21">
      <c r="I60" t="s">
        <v>143</v>
      </c>
      <c r="J60" t="s">
        <v>130</v>
      </c>
      <c r="K60" t="s">
        <v>131</v>
      </c>
      <c r="U60" s="93">
        <f ca="1">SUM(J66:K66,M48:N48)</f>
        <v>312531.24999999994</v>
      </c>
    </row>
    <row r="61" spans="1:21">
      <c r="B61" t="s">
        <v>137</v>
      </c>
      <c r="I61" s="77">
        <f ca="1">40%*(G43*F23)</f>
        <v>102371.838017489</v>
      </c>
      <c r="J61">
        <v>312.5</v>
      </c>
      <c r="K61">
        <v>1250</v>
      </c>
    </row>
    <row r="62" spans="1:21">
      <c r="A62" s="75"/>
      <c r="B62" s="75"/>
      <c r="C62" s="75"/>
      <c r="D62" s="75"/>
      <c r="E62" s="75"/>
      <c r="F62" s="75"/>
      <c r="G62" s="75"/>
      <c r="H62" s="75"/>
      <c r="I62" s="75"/>
      <c r="J62" s="75" t="s">
        <v>155</v>
      </c>
      <c r="K62" s="75"/>
      <c r="L62" s="75"/>
      <c r="M62" s="75"/>
      <c r="N62" s="75"/>
    </row>
    <row r="64" spans="1:21">
      <c r="B64" t="s">
        <v>140</v>
      </c>
      <c r="C64" s="87"/>
      <c r="D64" s="88"/>
      <c r="E64" s="88"/>
      <c r="F64" s="88"/>
      <c r="G64" s="88"/>
      <c r="H64" s="88"/>
      <c r="I64" s="78" t="s">
        <v>20</v>
      </c>
      <c r="J64" s="16">
        <f ca="1">F23-F20</f>
        <v>182.51999999999998</v>
      </c>
      <c r="K64" s="16">
        <f ca="1">G23-G20</f>
        <v>182.51999999999998</v>
      </c>
    </row>
    <row r="66" spans="1:16">
      <c r="C66" s="91"/>
      <c r="D66" s="91"/>
      <c r="E66" s="91"/>
      <c r="F66" s="91"/>
      <c r="G66" s="91"/>
      <c r="H66" s="91"/>
      <c r="I66" s="85">
        <v>102344.64000000001</v>
      </c>
      <c r="J66" s="85">
        <f ca="1">J61*J64</f>
        <v>57037.499999999993</v>
      </c>
      <c r="K66" s="85">
        <f ca="1">K61*K64</f>
        <v>228149.99999999997</v>
      </c>
      <c r="O66" s="86">
        <f ca="1">SUM(I66:K66)</f>
        <v>387532.14</v>
      </c>
      <c r="P66" t="s">
        <v>154</v>
      </c>
    </row>
    <row r="69" spans="1:16" ht="32.1">
      <c r="A69" s="74" t="s">
        <v>157</v>
      </c>
    </row>
    <row r="70" spans="1:16">
      <c r="F70" t="s">
        <v>128</v>
      </c>
    </row>
    <row r="71" spans="1:16">
      <c r="F71" t="s">
        <v>125</v>
      </c>
      <c r="G71" t="s">
        <v>128</v>
      </c>
      <c r="H71">
        <v>125</v>
      </c>
    </row>
    <row r="72" spans="1:16">
      <c r="C72" t="s">
        <v>121</v>
      </c>
      <c r="D72" t="s">
        <v>122</v>
      </c>
      <c r="E72" t="s">
        <v>123</v>
      </c>
      <c r="F72" t="s">
        <v>126</v>
      </c>
      <c r="G72" t="s">
        <v>148</v>
      </c>
      <c r="H72" t="s">
        <v>150</v>
      </c>
    </row>
    <row r="73" spans="1:16">
      <c r="B73" t="s">
        <v>137</v>
      </c>
      <c r="C73">
        <v>270</v>
      </c>
      <c r="D73">
        <v>280</v>
      </c>
      <c r="E73">
        <v>200</v>
      </c>
      <c r="F73">
        <v>930</v>
      </c>
      <c r="G73">
        <v>825</v>
      </c>
      <c r="H73">
        <f>80*125</f>
        <v>10000</v>
      </c>
      <c r="I73" s="88"/>
    </row>
    <row r="74" spans="1:16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</row>
    <row r="76" spans="1:16">
      <c r="B76" t="s">
        <v>153</v>
      </c>
      <c r="C76" s="16">
        <f ca="1">F23-F18</f>
        <v>209.59311295023926</v>
      </c>
      <c r="D76">
        <v>209.52</v>
      </c>
      <c r="E76">
        <v>209.52</v>
      </c>
      <c r="F76">
        <v>209.52</v>
      </c>
      <c r="G76">
        <v>209.52</v>
      </c>
      <c r="H76">
        <v>209.52</v>
      </c>
      <c r="I76" s="78"/>
    </row>
    <row r="78" spans="1:16">
      <c r="C78" s="89">
        <f ca="1">C73*C76</f>
        <v>56590.1404965646</v>
      </c>
      <c r="D78" s="89">
        <f t="shared" ref="D78:H78" si="4">D73*D76</f>
        <v>58665.600000000006</v>
      </c>
      <c r="E78" s="89">
        <f t="shared" si="4"/>
        <v>41904</v>
      </c>
      <c r="F78" s="89">
        <f t="shared" si="4"/>
        <v>194853.6</v>
      </c>
      <c r="G78" s="89">
        <f t="shared" si="4"/>
        <v>172854</v>
      </c>
      <c r="H78" s="89">
        <f t="shared" si="4"/>
        <v>2095200</v>
      </c>
      <c r="O78" s="90">
        <f ca="1">SUM(C78:H78)</f>
        <v>2620067.3404965647</v>
      </c>
      <c r="P78" t="s">
        <v>152</v>
      </c>
    </row>
    <row r="84" spans="3:16">
      <c r="O84" s="84">
        <f ca="1">O56+O66+O78</f>
        <v>3686687.0148715647</v>
      </c>
      <c r="P84" s="15" t="s">
        <v>149</v>
      </c>
    </row>
    <row r="85" spans="3:16">
      <c r="C85" t="s">
        <v>159</v>
      </c>
    </row>
    <row r="86" spans="3:16">
      <c r="C86" t="s">
        <v>161</v>
      </c>
      <c r="F86" t="s">
        <v>162</v>
      </c>
      <c r="G86" t="s">
        <v>148</v>
      </c>
      <c r="H86" t="s">
        <v>89</v>
      </c>
      <c r="I86" t="s">
        <v>163</v>
      </c>
      <c r="J86" t="s">
        <v>164</v>
      </c>
      <c r="K86" t="s">
        <v>130</v>
      </c>
      <c r="L86" t="s">
        <v>131</v>
      </c>
    </row>
    <row r="87" spans="3:16">
      <c r="C87" s="93">
        <f ca="1">SUM(C78:E78,C48:E48)</f>
        <v>201784.7404965646</v>
      </c>
      <c r="F87" s="93">
        <f>SUM(F78,G48)</f>
        <v>224148.6</v>
      </c>
      <c r="G87" s="66">
        <f>SUM(H48,G78)</f>
        <v>187291.5</v>
      </c>
      <c r="H87" s="93">
        <f>SUM(H78,I48)</f>
        <v>2410200</v>
      </c>
      <c r="J87" t="s">
        <v>165</v>
      </c>
      <c r="K87" t="s">
        <v>166</v>
      </c>
      <c r="L87" t="s">
        <v>167</v>
      </c>
    </row>
    <row r="89" spans="3:16">
      <c r="I89" s="66">
        <f>SUM(J48:L48)</f>
        <v>191800</v>
      </c>
      <c r="J89" s="93">
        <f>I66</f>
        <v>102344.64000000001</v>
      </c>
      <c r="K89" s="93">
        <f ca="1">SUM(J66,M48)</f>
        <v>62506.249999999993</v>
      </c>
      <c r="L89" s="93">
        <f ca="1">SUM(K66,N48)</f>
        <v>250024.99999999997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989C-77F6-4778-B848-3CD95061DE3B}">
  <dimension ref="A2:X40"/>
  <sheetViews>
    <sheetView zoomScale="72" workbookViewId="0">
      <selection activeCell="O21" sqref="O21"/>
    </sheetView>
  </sheetViews>
  <sheetFormatPr defaultRowHeight="14.55"/>
  <cols>
    <col min="3" max="3" width="17.21875" customWidth="1"/>
    <col min="4" max="4" width="10.6640625" customWidth="1"/>
    <col min="6" max="6" width="11.109375" bestFit="1" customWidth="1"/>
    <col min="7" max="7" width="11" customWidth="1"/>
    <col min="9" max="9" width="11.88671875" bestFit="1" customWidth="1"/>
    <col min="11" max="11" width="12.44140625" customWidth="1"/>
    <col min="12" max="12" width="13.77734375" customWidth="1"/>
    <col min="13" max="13" width="11.6640625" customWidth="1"/>
    <col min="14" max="14" width="13.21875" bestFit="1" customWidth="1"/>
    <col min="16" max="16" width="10.88671875" customWidth="1"/>
    <col min="17" max="17" width="9.5546875" customWidth="1"/>
  </cols>
  <sheetData>
    <row r="2" spans="1:23">
      <c r="D2" t="s">
        <v>81</v>
      </c>
      <c r="E2" t="s">
        <v>82</v>
      </c>
      <c r="I2" t="s">
        <v>3</v>
      </c>
      <c r="J2" t="s">
        <v>83</v>
      </c>
    </row>
    <row r="3" spans="1:23" ht="16.95">
      <c r="A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89</v>
      </c>
      <c r="J3" t="s">
        <v>90</v>
      </c>
      <c r="K3" t="s">
        <v>83</v>
      </c>
      <c r="L3" t="s">
        <v>91</v>
      </c>
      <c r="M3" t="s">
        <v>77</v>
      </c>
      <c r="N3" t="s">
        <v>92</v>
      </c>
      <c r="P3" s="63" t="s">
        <v>93</v>
      </c>
      <c r="R3" s="63"/>
      <c r="S3" s="63"/>
      <c r="T3" s="63"/>
      <c r="U3" s="63"/>
      <c r="V3" s="63"/>
    </row>
    <row r="4" spans="1:23" ht="16.9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88</v>
      </c>
      <c r="J4" t="s">
        <v>102</v>
      </c>
      <c r="K4" t="s">
        <v>88</v>
      </c>
      <c r="L4" t="s">
        <v>99</v>
      </c>
      <c r="M4" t="s">
        <v>103</v>
      </c>
      <c r="N4" t="s">
        <v>104</v>
      </c>
      <c r="P4" s="63" t="s">
        <v>105</v>
      </c>
      <c r="R4" s="63"/>
      <c r="S4" s="63"/>
      <c r="T4" s="63"/>
      <c r="U4" s="63"/>
      <c r="V4" s="63"/>
    </row>
    <row r="5" spans="1:23">
      <c r="A5" s="64">
        <v>0</v>
      </c>
      <c r="B5">
        <v>1</v>
      </c>
      <c r="C5" t="s">
        <v>106</v>
      </c>
      <c r="D5">
        <v>0.8</v>
      </c>
      <c r="E5">
        <f>D5*D5</f>
        <v>0.64000000000000012</v>
      </c>
      <c r="F5" s="65">
        <v>40000</v>
      </c>
      <c r="G5" s="65">
        <f>10%*F5</f>
        <v>4000</v>
      </c>
      <c r="H5">
        <v>26</v>
      </c>
      <c r="I5" s="66">
        <f t="shared" ref="I5:I10" si="0">(H5)*(80*30*6)+$R$8+$R$11</f>
        <v>479700</v>
      </c>
      <c r="J5">
        <v>1000</v>
      </c>
      <c r="K5" s="67">
        <f>($R$15)*(H5/2)*6*30+(20*H5/2*6*30)</f>
        <v>58500</v>
      </c>
      <c r="L5" s="66">
        <f>F5+G5+I5+K5</f>
        <v>582200</v>
      </c>
      <c r="M5" s="65">
        <f>PRODUCT(A5,L5)</f>
        <v>0</v>
      </c>
      <c r="N5">
        <f>PRODUCT(A5*J5)</f>
        <v>0</v>
      </c>
    </row>
    <row r="6" spans="1:23">
      <c r="A6" s="64">
        <v>1</v>
      </c>
      <c r="B6">
        <v>2</v>
      </c>
      <c r="C6" t="s">
        <v>107</v>
      </c>
      <c r="D6">
        <v>0.95</v>
      </c>
      <c r="E6">
        <f t="shared" ref="E6:E10" si="1">D6*D6</f>
        <v>0.90249999999999997</v>
      </c>
      <c r="F6" s="65">
        <v>55000</v>
      </c>
      <c r="G6" s="65">
        <f t="shared" ref="G6:G10" si="2">10%*F6</f>
        <v>5500</v>
      </c>
      <c r="H6">
        <v>40</v>
      </c>
      <c r="I6" s="66">
        <f t="shared" si="0"/>
        <v>681300</v>
      </c>
      <c r="J6">
        <v>1200</v>
      </c>
      <c r="K6" s="67">
        <f t="shared" ref="K6:K10" si="3">(20+$R$15)*(H6/2)*6*30</f>
        <v>90000</v>
      </c>
      <c r="L6" s="66">
        <f t="shared" ref="L6:L10" si="4">F6+G6+I6+K6</f>
        <v>831800</v>
      </c>
      <c r="M6" s="65">
        <f t="shared" ref="M6:M10" si="5">PRODUCT(A6,L6)</f>
        <v>831800</v>
      </c>
      <c r="N6">
        <f t="shared" ref="N6:N10" si="6">PRODUCT(A6*J6)</f>
        <v>1200</v>
      </c>
    </row>
    <row r="7" spans="1:23">
      <c r="A7" s="64">
        <v>0</v>
      </c>
      <c r="B7">
        <v>3</v>
      </c>
      <c r="C7" t="s">
        <v>108</v>
      </c>
      <c r="D7">
        <v>0.7</v>
      </c>
      <c r="E7">
        <f t="shared" si="1"/>
        <v>0.48999999999999994</v>
      </c>
      <c r="F7" s="65">
        <v>30000</v>
      </c>
      <c r="G7" s="65">
        <f t="shared" si="2"/>
        <v>3000</v>
      </c>
      <c r="H7">
        <v>30</v>
      </c>
      <c r="I7" s="66">
        <f t="shared" si="0"/>
        <v>537300</v>
      </c>
      <c r="J7">
        <v>1050</v>
      </c>
      <c r="K7" s="67">
        <f t="shared" si="3"/>
        <v>67500</v>
      </c>
      <c r="L7" s="66">
        <f t="shared" si="4"/>
        <v>637800</v>
      </c>
      <c r="M7" s="65">
        <f t="shared" si="5"/>
        <v>0</v>
      </c>
      <c r="N7">
        <f t="shared" si="6"/>
        <v>0</v>
      </c>
      <c r="R7" s="15" t="s">
        <v>109</v>
      </c>
    </row>
    <row r="8" spans="1:23">
      <c r="A8" s="64">
        <v>1</v>
      </c>
      <c r="B8">
        <v>4</v>
      </c>
      <c r="C8" t="s">
        <v>107</v>
      </c>
      <c r="D8">
        <v>0.9</v>
      </c>
      <c r="E8">
        <f t="shared" si="1"/>
        <v>0.81</v>
      </c>
      <c r="F8" s="65">
        <v>42000</v>
      </c>
      <c r="G8" s="65">
        <f t="shared" si="2"/>
        <v>4200</v>
      </c>
      <c r="H8">
        <v>40</v>
      </c>
      <c r="I8" s="66">
        <f t="shared" si="0"/>
        <v>681300</v>
      </c>
      <c r="J8">
        <v>1200</v>
      </c>
      <c r="K8" s="67">
        <f t="shared" si="3"/>
        <v>90000</v>
      </c>
      <c r="L8" s="66">
        <f t="shared" si="4"/>
        <v>817500</v>
      </c>
      <c r="M8" s="65">
        <f t="shared" si="5"/>
        <v>817500</v>
      </c>
      <c r="N8">
        <f t="shared" si="6"/>
        <v>1200</v>
      </c>
      <c r="R8" s="65">
        <f>310*(30*6)</f>
        <v>55800</v>
      </c>
    </row>
    <row r="9" spans="1:23">
      <c r="A9" s="64">
        <v>0</v>
      </c>
      <c r="B9">
        <v>5</v>
      </c>
      <c r="C9" t="s">
        <v>108</v>
      </c>
      <c r="D9">
        <v>0.3</v>
      </c>
      <c r="E9">
        <f t="shared" si="1"/>
        <v>0.09</v>
      </c>
      <c r="F9" s="65">
        <v>17500</v>
      </c>
      <c r="G9" s="65">
        <f t="shared" si="2"/>
        <v>1750</v>
      </c>
      <c r="H9">
        <v>25</v>
      </c>
      <c r="I9" s="66">
        <f t="shared" si="0"/>
        <v>465300</v>
      </c>
      <c r="J9">
        <v>1250</v>
      </c>
      <c r="K9" s="67">
        <f t="shared" si="3"/>
        <v>56250</v>
      </c>
      <c r="L9" s="66">
        <f t="shared" si="4"/>
        <v>540800</v>
      </c>
      <c r="M9" s="65">
        <f t="shared" si="5"/>
        <v>0</v>
      </c>
      <c r="N9">
        <f t="shared" si="6"/>
        <v>0</v>
      </c>
    </row>
    <row r="10" spans="1:23">
      <c r="A10" s="64">
        <v>1</v>
      </c>
      <c r="B10">
        <v>6</v>
      </c>
      <c r="C10" t="s">
        <v>106</v>
      </c>
      <c r="D10">
        <v>0.85</v>
      </c>
      <c r="E10">
        <f t="shared" si="1"/>
        <v>0.72249999999999992</v>
      </c>
      <c r="F10" s="65">
        <v>40000</v>
      </c>
      <c r="G10" s="65">
        <f t="shared" si="2"/>
        <v>4000</v>
      </c>
      <c r="H10">
        <v>45</v>
      </c>
      <c r="I10" s="66">
        <f t="shared" si="0"/>
        <v>753300</v>
      </c>
      <c r="J10">
        <v>1450</v>
      </c>
      <c r="K10" s="67">
        <f t="shared" si="3"/>
        <v>101250</v>
      </c>
      <c r="L10" s="66">
        <f t="shared" si="4"/>
        <v>898550</v>
      </c>
      <c r="M10" s="65">
        <f t="shared" si="5"/>
        <v>898550</v>
      </c>
      <c r="N10">
        <f t="shared" si="6"/>
        <v>1450</v>
      </c>
      <c r="R10" s="15" t="s">
        <v>110</v>
      </c>
    </row>
    <row r="11" spans="1:23">
      <c r="F11" s="66">
        <f>SUM(F6,F8,F10)</f>
        <v>137000</v>
      </c>
      <c r="G11" s="66">
        <f>SUM(G6,G8,G10)</f>
        <v>13700</v>
      </c>
      <c r="H11">
        <f>SUM(H6,H8,H10)</f>
        <v>125</v>
      </c>
      <c r="I11" s="66">
        <f>SUM(I6,I8,I10)</f>
        <v>2115900</v>
      </c>
      <c r="K11" s="67">
        <f>SUM(K6,K8,K10)</f>
        <v>281250</v>
      </c>
      <c r="R11" s="65">
        <f>275*(30*6)</f>
        <v>49500</v>
      </c>
    </row>
    <row r="12" spans="1:23">
      <c r="A12" s="15" t="s">
        <v>111</v>
      </c>
      <c r="E12" s="15" t="s">
        <v>112</v>
      </c>
      <c r="N12" s="15" t="s">
        <v>113</v>
      </c>
    </row>
    <row r="14" spans="1:23">
      <c r="A14" s="68">
        <f>SUM(A5:A10)</f>
        <v>3</v>
      </c>
      <c r="B14" s="69" t="s">
        <v>114</v>
      </c>
      <c r="C14" s="70">
        <v>3</v>
      </c>
      <c r="E14" s="68">
        <f>SUMPRODUCT(A5:A10,E5:E10)/3</f>
        <v>0.81166666666666654</v>
      </c>
      <c r="F14" s="71" t="s">
        <v>115</v>
      </c>
      <c r="G14" s="70">
        <v>0.8</v>
      </c>
      <c r="N14" s="68">
        <f>SUM(N5:N10)</f>
        <v>3850</v>
      </c>
      <c r="O14" s="71" t="s">
        <v>115</v>
      </c>
      <c r="P14" s="70">
        <v>3500</v>
      </c>
      <c r="R14" s="15" t="s">
        <v>116</v>
      </c>
    </row>
    <row r="15" spans="1:23">
      <c r="R15" s="67">
        <v>5</v>
      </c>
      <c r="S15" t="s">
        <v>117</v>
      </c>
      <c r="W15">
        <f>125/2</f>
        <v>62.5</v>
      </c>
    </row>
    <row r="16" spans="1:23">
      <c r="R16">
        <v>20</v>
      </c>
      <c r="S16" t="s">
        <v>117</v>
      </c>
    </row>
    <row r="17" spans="1:24">
      <c r="W17" s="15" t="s">
        <v>134</v>
      </c>
    </row>
    <row r="18" spans="1:24">
      <c r="R18">
        <f xml:space="preserve"> 5*W15</f>
        <v>312.5</v>
      </c>
      <c r="S18" t="s">
        <v>133</v>
      </c>
      <c r="W18">
        <v>0.05</v>
      </c>
      <c r="X18" t="s">
        <v>135</v>
      </c>
    </row>
    <row r="19" spans="1:24">
      <c r="M19" t="s">
        <v>118</v>
      </c>
    </row>
    <row r="20" spans="1:24">
      <c r="A20" s="72" t="s">
        <v>119</v>
      </c>
      <c r="B20" s="68"/>
      <c r="C20" s="68"/>
      <c r="M20" s="73">
        <f>SUM(M5:M10)</f>
        <v>2547850</v>
      </c>
      <c r="R20">
        <f>20*W15</f>
        <v>1250</v>
      </c>
      <c r="S20" t="s">
        <v>136</v>
      </c>
      <c r="W20">
        <v>0.08</v>
      </c>
      <c r="X20" t="s">
        <v>135</v>
      </c>
    </row>
    <row r="22" spans="1:24">
      <c r="G22" s="76"/>
    </row>
    <row r="23" spans="1:24">
      <c r="R23">
        <f>R18*(30*6)</f>
        <v>56250</v>
      </c>
    </row>
    <row r="25" spans="1:24">
      <c r="R25">
        <f>1250 * (30 * 6)</f>
        <v>225000</v>
      </c>
    </row>
    <row r="40" spans="13:13">
      <c r="M40">
        <f>91.26*2</f>
        <v>182.52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5735-8B12-46A2-8C32-C9E65438227A}">
  <dimension ref="A1:K419"/>
  <sheetViews>
    <sheetView topLeftCell="A369" workbookViewId="0">
      <selection activeCell="B419" sqref="B419"/>
    </sheetView>
  </sheetViews>
  <sheetFormatPr defaultRowHeight="14.55"/>
  <cols>
    <col min="1" max="1" width="15.33203125" customWidth="1"/>
    <col min="2" max="2" width="22.6640625" customWidth="1"/>
  </cols>
  <sheetData>
    <row r="1" spans="1:11" ht="17.55">
      <c r="B1" s="26" t="s">
        <v>48</v>
      </c>
    </row>
    <row r="2" spans="1:11" ht="15.75">
      <c r="C2" s="27" t="s">
        <v>35</v>
      </c>
    </row>
    <row r="3" spans="1:11" ht="17.55">
      <c r="C3" s="26"/>
    </row>
    <row r="4" spans="1:11" ht="15.15" thickBot="1">
      <c r="A4" s="28"/>
      <c r="B4" s="28"/>
      <c r="C4" s="28"/>
      <c r="D4" s="28"/>
      <c r="E4" s="28"/>
      <c r="F4" s="28"/>
    </row>
    <row r="5" spans="1:11">
      <c r="A5" s="29"/>
      <c r="B5" s="30"/>
      <c r="C5" s="31"/>
      <c r="D5" s="32"/>
      <c r="E5" s="33" t="s">
        <v>36</v>
      </c>
      <c r="F5" s="34"/>
      <c r="G5" s="35" t="s">
        <v>37</v>
      </c>
      <c r="H5" s="36"/>
      <c r="I5" s="37"/>
      <c r="J5" s="38"/>
      <c r="K5" s="39" t="s">
        <v>38</v>
      </c>
    </row>
    <row r="6" spans="1:11" ht="15.15" thickBot="1">
      <c r="A6" s="40" t="s">
        <v>4</v>
      </c>
      <c r="B6" s="40" t="s">
        <v>39</v>
      </c>
      <c r="C6" s="41" t="s">
        <v>19</v>
      </c>
      <c r="D6" s="42" t="s">
        <v>40</v>
      </c>
      <c r="E6" s="41" t="s">
        <v>41</v>
      </c>
      <c r="F6" s="43" t="s">
        <v>42</v>
      </c>
      <c r="G6" s="44" t="s">
        <v>43</v>
      </c>
      <c r="H6" s="45" t="s">
        <v>44</v>
      </c>
      <c r="I6" s="46" t="s">
        <v>45</v>
      </c>
      <c r="J6" s="47" t="s">
        <v>46</v>
      </c>
      <c r="K6" s="48" t="s">
        <v>47</v>
      </c>
    </row>
    <row r="7" spans="1:11" ht="15.15" thickTop="1">
      <c r="A7" s="49">
        <v>14</v>
      </c>
      <c r="B7" s="19" t="s">
        <v>54</v>
      </c>
      <c r="C7" s="18">
        <v>12</v>
      </c>
      <c r="D7" s="8">
        <v>7</v>
      </c>
      <c r="E7" s="18">
        <f>7*8</f>
        <v>56</v>
      </c>
      <c r="F7" s="8">
        <f>(21+28)/2</f>
        <v>24.5</v>
      </c>
      <c r="G7" s="50">
        <f>(D7+E7+4*F7)/6</f>
        <v>26.833333333333332</v>
      </c>
      <c r="H7" s="51">
        <f>(E7-D7)^2/36</f>
        <v>66.694444444444443</v>
      </c>
      <c r="I7" s="52">
        <f t="shared" ref="I7" si="0">((G7-D7)/(E7-D7))*((((G7-D7)*(E7-G7))/H7)-1)</f>
        <v>3.1059280855199218</v>
      </c>
      <c r="J7" s="53">
        <f t="shared" ref="J7" si="1">((E7-G7)/(G7-D7))*I7</f>
        <v>4.5675413022351794</v>
      </c>
      <c r="K7" s="54">
        <f ca="1">RAND()</f>
        <v>0.16382777861766562</v>
      </c>
    </row>
    <row r="11" spans="1:11">
      <c r="A11" s="1"/>
      <c r="B11" s="2" t="s">
        <v>0</v>
      </c>
    </row>
    <row r="12" spans="1:11" ht="15.15" thickBot="1">
      <c r="A12" s="5" t="s">
        <v>4</v>
      </c>
      <c r="B12" s="6" t="s">
        <v>57</v>
      </c>
    </row>
    <row r="13" spans="1:11" ht="15.15" thickTop="1">
      <c r="A13" s="8">
        <v>14</v>
      </c>
      <c r="B13" s="9">
        <f ca="1">BETAINV(K7,I7,J7,D7,E7)</f>
        <v>18.388561151476537</v>
      </c>
    </row>
    <row r="17" spans="1:2">
      <c r="A17" s="58" t="s">
        <v>58</v>
      </c>
      <c r="B17" s="59" t="s">
        <v>0</v>
      </c>
    </row>
    <row r="18" spans="1:2">
      <c r="A18" s="8">
        <v>1</v>
      </c>
      <c r="B18" s="9">
        <f ca="1">B13</f>
        <v>18.388561151476537</v>
      </c>
    </row>
    <row r="19" spans="1:2">
      <c r="A19" s="18">
        <v>2</v>
      </c>
      <c r="B19" s="10">
        <f t="dataTable" ref="B19:B417" dt2D="0" dtr="0" r1="A18" ca="1"/>
        <v>22.602433758110379</v>
      </c>
    </row>
    <row r="20" spans="1:2">
      <c r="A20" s="8">
        <v>3</v>
      </c>
      <c r="B20" s="10">
        <v>26.749141756731539</v>
      </c>
    </row>
    <row r="21" spans="1:2">
      <c r="A21" s="18">
        <v>4</v>
      </c>
      <c r="B21" s="10">
        <v>38.637615789950559</v>
      </c>
    </row>
    <row r="22" spans="1:2">
      <c r="A22" s="8">
        <v>5</v>
      </c>
      <c r="B22" s="10">
        <v>29.500030550798083</v>
      </c>
    </row>
    <row r="23" spans="1:2">
      <c r="A23" s="18">
        <v>6</v>
      </c>
      <c r="B23" s="10">
        <v>18.298628328068752</v>
      </c>
    </row>
    <row r="24" spans="1:2">
      <c r="A24" s="8">
        <v>7</v>
      </c>
      <c r="B24" s="10">
        <v>34.524575225405947</v>
      </c>
    </row>
    <row r="25" spans="1:2">
      <c r="A25" s="18">
        <v>8</v>
      </c>
      <c r="B25" s="10">
        <v>25.446245374994053</v>
      </c>
    </row>
    <row r="26" spans="1:2">
      <c r="A26" s="8">
        <v>9</v>
      </c>
      <c r="B26" s="10">
        <v>20.500690845355443</v>
      </c>
    </row>
    <row r="27" spans="1:2">
      <c r="A27" s="18">
        <v>10</v>
      </c>
      <c r="B27" s="10">
        <v>32.9162773513007</v>
      </c>
    </row>
    <row r="28" spans="1:2">
      <c r="A28" s="8">
        <v>11</v>
      </c>
      <c r="B28" s="10">
        <v>32.668359122621254</v>
      </c>
    </row>
    <row r="29" spans="1:2">
      <c r="A29" s="18">
        <v>12</v>
      </c>
      <c r="B29" s="10">
        <v>27.897715074363131</v>
      </c>
    </row>
    <row r="30" spans="1:2">
      <c r="A30" s="8">
        <v>13</v>
      </c>
      <c r="B30" s="10">
        <v>22.178578447530434</v>
      </c>
    </row>
    <row r="31" spans="1:2">
      <c r="A31" s="18">
        <v>14</v>
      </c>
      <c r="B31" s="10">
        <v>31.987843064064315</v>
      </c>
    </row>
    <row r="32" spans="1:2">
      <c r="A32" s="8">
        <v>15</v>
      </c>
      <c r="B32" s="10">
        <v>44.738044511041359</v>
      </c>
    </row>
    <row r="33" spans="1:2">
      <c r="A33" s="18">
        <v>16</v>
      </c>
      <c r="B33" s="10">
        <v>27.898797537070795</v>
      </c>
    </row>
    <row r="34" spans="1:2">
      <c r="A34" s="8">
        <v>17</v>
      </c>
      <c r="B34" s="10">
        <v>12.649536444052139</v>
      </c>
    </row>
    <row r="35" spans="1:2">
      <c r="A35" s="18">
        <v>18</v>
      </c>
      <c r="B35" s="10">
        <v>27.707134517804558</v>
      </c>
    </row>
    <row r="36" spans="1:2">
      <c r="A36" s="8">
        <v>19</v>
      </c>
      <c r="B36" s="10">
        <v>29.016265514841177</v>
      </c>
    </row>
    <row r="37" spans="1:2">
      <c r="A37" s="18">
        <v>20</v>
      </c>
      <c r="B37" s="10">
        <v>31.262521356600715</v>
      </c>
    </row>
    <row r="38" spans="1:2">
      <c r="A38" s="8">
        <v>21</v>
      </c>
      <c r="B38" s="10">
        <v>26.189882420982457</v>
      </c>
    </row>
    <row r="39" spans="1:2">
      <c r="A39" s="18">
        <v>22</v>
      </c>
      <c r="B39" s="10">
        <v>45.784199491107984</v>
      </c>
    </row>
    <row r="40" spans="1:2">
      <c r="A40" s="8">
        <v>23</v>
      </c>
      <c r="B40" s="10">
        <v>34.941579377137842</v>
      </c>
    </row>
    <row r="41" spans="1:2">
      <c r="A41" s="18">
        <v>24</v>
      </c>
      <c r="B41" s="10">
        <v>44.143519576885396</v>
      </c>
    </row>
    <row r="42" spans="1:2">
      <c r="A42" s="8">
        <v>25</v>
      </c>
      <c r="B42" s="10">
        <v>32.671765538194052</v>
      </c>
    </row>
    <row r="43" spans="1:2">
      <c r="A43" s="18">
        <v>26</v>
      </c>
      <c r="B43" s="10">
        <v>23.041531126397057</v>
      </c>
    </row>
    <row r="44" spans="1:2">
      <c r="A44" s="8">
        <v>27</v>
      </c>
      <c r="B44" s="10">
        <v>33.139717039737086</v>
      </c>
    </row>
    <row r="45" spans="1:2">
      <c r="A45" s="18">
        <v>28</v>
      </c>
      <c r="B45" s="10">
        <v>25.115832812329209</v>
      </c>
    </row>
    <row r="46" spans="1:2">
      <c r="A46" s="8">
        <v>29</v>
      </c>
      <c r="B46" s="10">
        <v>20.421739412571821</v>
      </c>
    </row>
    <row r="47" spans="1:2">
      <c r="A47" s="18">
        <v>30</v>
      </c>
      <c r="B47" s="10">
        <v>20.734003263084798</v>
      </c>
    </row>
    <row r="48" spans="1:2">
      <c r="A48" s="8">
        <v>31</v>
      </c>
      <c r="B48" s="10">
        <v>21.241143705245861</v>
      </c>
    </row>
    <row r="49" spans="1:2">
      <c r="A49" s="18">
        <v>32</v>
      </c>
      <c r="B49" s="10">
        <v>32.820943587751792</v>
      </c>
    </row>
    <row r="50" spans="1:2">
      <c r="A50" s="8">
        <v>33</v>
      </c>
      <c r="B50" s="10">
        <v>21.66579744128591</v>
      </c>
    </row>
    <row r="51" spans="1:2">
      <c r="A51" s="18">
        <v>34</v>
      </c>
      <c r="B51" s="10">
        <v>18.115970424524129</v>
      </c>
    </row>
    <row r="52" spans="1:2">
      <c r="A52" s="8">
        <v>35</v>
      </c>
      <c r="B52" s="10">
        <v>20.676170914564743</v>
      </c>
    </row>
    <row r="53" spans="1:2">
      <c r="A53" s="18">
        <v>36</v>
      </c>
      <c r="B53" s="10">
        <v>34.278734856797413</v>
      </c>
    </row>
    <row r="54" spans="1:2">
      <c r="A54" s="8">
        <v>37</v>
      </c>
      <c r="B54" s="10">
        <v>28.836982434459564</v>
      </c>
    </row>
    <row r="55" spans="1:2">
      <c r="A55" s="18">
        <v>38</v>
      </c>
      <c r="B55" s="10">
        <v>25.722142657029199</v>
      </c>
    </row>
    <row r="56" spans="1:2">
      <c r="A56" s="8">
        <v>39</v>
      </c>
      <c r="B56" s="10">
        <v>43.614443662356415</v>
      </c>
    </row>
    <row r="57" spans="1:2">
      <c r="A57" s="18">
        <v>40</v>
      </c>
      <c r="B57" s="10">
        <v>16.019655363381418</v>
      </c>
    </row>
    <row r="58" spans="1:2">
      <c r="A58" s="8">
        <v>41</v>
      </c>
      <c r="B58" s="10">
        <v>15.443043152818024</v>
      </c>
    </row>
    <row r="59" spans="1:2">
      <c r="A59" s="18">
        <v>42</v>
      </c>
      <c r="B59" s="10">
        <v>20.043482296921525</v>
      </c>
    </row>
    <row r="60" spans="1:2">
      <c r="A60" s="8">
        <v>43</v>
      </c>
      <c r="B60" s="10">
        <v>9.6691631606393962</v>
      </c>
    </row>
    <row r="61" spans="1:2">
      <c r="A61" s="18">
        <v>44</v>
      </c>
      <c r="B61" s="10">
        <v>25.962930310412414</v>
      </c>
    </row>
    <row r="62" spans="1:2">
      <c r="A62" s="8">
        <v>45</v>
      </c>
      <c r="B62" s="10">
        <v>38.027043129053638</v>
      </c>
    </row>
    <row r="63" spans="1:2">
      <c r="A63" s="18">
        <v>46</v>
      </c>
      <c r="B63" s="10">
        <v>15.000169582069674</v>
      </c>
    </row>
    <row r="64" spans="1:2">
      <c r="A64" s="8">
        <v>47</v>
      </c>
      <c r="B64" s="10">
        <v>21.068921117459485</v>
      </c>
    </row>
    <row r="65" spans="1:2">
      <c r="A65" s="18">
        <v>48</v>
      </c>
      <c r="B65" s="10">
        <v>28.384734627761837</v>
      </c>
    </row>
    <row r="66" spans="1:2">
      <c r="A66" s="8">
        <v>49</v>
      </c>
      <c r="B66" s="10">
        <v>16.686420030857558</v>
      </c>
    </row>
    <row r="67" spans="1:2">
      <c r="A67" s="18">
        <v>50</v>
      </c>
      <c r="B67" s="10">
        <v>25.194171532069316</v>
      </c>
    </row>
    <row r="68" spans="1:2">
      <c r="A68" s="8">
        <v>51</v>
      </c>
      <c r="B68" s="10">
        <v>12.893614790496965</v>
      </c>
    </row>
    <row r="69" spans="1:2">
      <c r="A69" s="18">
        <v>52</v>
      </c>
      <c r="B69" s="10">
        <v>23.187062439482258</v>
      </c>
    </row>
    <row r="70" spans="1:2">
      <c r="A70" s="8">
        <v>53</v>
      </c>
      <c r="B70" s="10">
        <v>22.872601761313589</v>
      </c>
    </row>
    <row r="71" spans="1:2">
      <c r="A71" s="18">
        <v>54</v>
      </c>
      <c r="B71" s="10">
        <v>31.76583877417136</v>
      </c>
    </row>
    <row r="72" spans="1:2">
      <c r="A72" s="8">
        <v>55</v>
      </c>
      <c r="B72" s="10">
        <v>15.001295698202807</v>
      </c>
    </row>
    <row r="73" spans="1:2">
      <c r="A73" s="18">
        <v>56</v>
      </c>
      <c r="B73" s="10">
        <v>40.377416472665153</v>
      </c>
    </row>
    <row r="74" spans="1:2">
      <c r="A74" s="8">
        <v>57</v>
      </c>
      <c r="B74" s="10">
        <v>23.538478734774316</v>
      </c>
    </row>
    <row r="75" spans="1:2">
      <c r="A75" s="18">
        <v>58</v>
      </c>
      <c r="B75" s="10">
        <v>44.582118909246837</v>
      </c>
    </row>
    <row r="76" spans="1:2">
      <c r="A76" s="8">
        <v>59</v>
      </c>
      <c r="B76" s="10">
        <v>28.193781879636919</v>
      </c>
    </row>
    <row r="77" spans="1:2">
      <c r="A77" s="18">
        <v>60</v>
      </c>
      <c r="B77" s="10">
        <v>24.211896550832957</v>
      </c>
    </row>
    <row r="78" spans="1:2">
      <c r="A78" s="8">
        <v>61</v>
      </c>
      <c r="B78" s="10">
        <v>21.217000049767613</v>
      </c>
    </row>
    <row r="79" spans="1:2">
      <c r="A79" s="18">
        <v>62</v>
      </c>
      <c r="B79" s="10">
        <v>31.995652500928699</v>
      </c>
    </row>
    <row r="80" spans="1:2">
      <c r="A80" s="8">
        <v>63</v>
      </c>
      <c r="B80" s="10">
        <v>14.591139077695592</v>
      </c>
    </row>
    <row r="81" spans="1:2">
      <c r="A81" s="18">
        <v>64</v>
      </c>
      <c r="B81" s="10">
        <v>42.313415401618329</v>
      </c>
    </row>
    <row r="82" spans="1:2">
      <c r="A82" s="8">
        <v>65</v>
      </c>
      <c r="B82" s="10">
        <v>23.678934436046553</v>
      </c>
    </row>
    <row r="83" spans="1:2">
      <c r="A83" s="18">
        <v>66</v>
      </c>
      <c r="B83" s="10">
        <v>37.080241384490051</v>
      </c>
    </row>
    <row r="84" spans="1:2">
      <c r="A84" s="8">
        <v>67</v>
      </c>
      <c r="B84" s="10">
        <v>31.498522973306113</v>
      </c>
    </row>
    <row r="85" spans="1:2">
      <c r="A85" s="18">
        <v>68</v>
      </c>
      <c r="B85" s="10">
        <v>40.742030981014906</v>
      </c>
    </row>
    <row r="86" spans="1:2">
      <c r="A86" s="8">
        <v>69</v>
      </c>
      <c r="B86" s="10">
        <v>39.546399614161103</v>
      </c>
    </row>
    <row r="87" spans="1:2">
      <c r="A87" s="18">
        <v>70</v>
      </c>
      <c r="B87" s="10">
        <v>12.168135282031546</v>
      </c>
    </row>
    <row r="88" spans="1:2">
      <c r="A88" s="8">
        <v>71</v>
      </c>
      <c r="B88" s="10">
        <v>21.496477172261475</v>
      </c>
    </row>
    <row r="89" spans="1:2">
      <c r="A89" s="18">
        <v>72</v>
      </c>
      <c r="B89" s="10">
        <v>42.756836285937972</v>
      </c>
    </row>
    <row r="90" spans="1:2">
      <c r="A90" s="8">
        <v>73</v>
      </c>
      <c r="B90" s="10">
        <v>26.052527694825383</v>
      </c>
    </row>
    <row r="91" spans="1:2">
      <c r="A91" s="18">
        <v>74</v>
      </c>
      <c r="B91" s="10">
        <v>36.263908519381332</v>
      </c>
    </row>
    <row r="92" spans="1:2">
      <c r="A92" s="8">
        <v>75</v>
      </c>
      <c r="B92" s="10">
        <v>38.919100909817928</v>
      </c>
    </row>
    <row r="93" spans="1:2">
      <c r="A93" s="18">
        <v>76</v>
      </c>
      <c r="B93" s="10">
        <v>30.996877392927338</v>
      </c>
    </row>
    <row r="94" spans="1:2">
      <c r="A94" s="8">
        <v>77</v>
      </c>
      <c r="B94" s="10">
        <v>20.074711598600544</v>
      </c>
    </row>
    <row r="95" spans="1:2">
      <c r="A95" s="18">
        <v>78</v>
      </c>
      <c r="B95" s="10">
        <v>29.077977427015885</v>
      </c>
    </row>
    <row r="96" spans="1:2">
      <c r="A96" s="8">
        <v>79</v>
      </c>
      <c r="B96" s="10">
        <v>41.25484606349373</v>
      </c>
    </row>
    <row r="97" spans="1:2">
      <c r="A97" s="18">
        <v>80</v>
      </c>
      <c r="B97" s="10">
        <v>27.554171166655507</v>
      </c>
    </row>
    <row r="98" spans="1:2">
      <c r="A98" s="8">
        <v>81</v>
      </c>
      <c r="B98" s="10">
        <v>29.166664436808549</v>
      </c>
    </row>
    <row r="99" spans="1:2">
      <c r="A99" s="18">
        <v>82</v>
      </c>
      <c r="B99" s="10">
        <v>11.62489251313791</v>
      </c>
    </row>
    <row r="100" spans="1:2">
      <c r="A100" s="8">
        <v>83</v>
      </c>
      <c r="B100" s="10">
        <v>26.282835834278963</v>
      </c>
    </row>
    <row r="101" spans="1:2">
      <c r="A101" s="18">
        <v>84</v>
      </c>
      <c r="B101" s="10">
        <v>26.927166794111468</v>
      </c>
    </row>
    <row r="102" spans="1:2">
      <c r="A102" s="8">
        <v>85</v>
      </c>
      <c r="B102" s="10">
        <v>31.3110698675445</v>
      </c>
    </row>
    <row r="103" spans="1:2">
      <c r="A103" s="18">
        <v>86</v>
      </c>
      <c r="B103" s="10">
        <v>27.620846294088416</v>
      </c>
    </row>
    <row r="104" spans="1:2">
      <c r="A104" s="8">
        <v>87</v>
      </c>
      <c r="B104" s="10">
        <v>20.421894744617788</v>
      </c>
    </row>
    <row r="105" spans="1:2">
      <c r="A105" s="18">
        <v>88</v>
      </c>
      <c r="B105" s="10">
        <v>17.760137076335138</v>
      </c>
    </row>
    <row r="106" spans="1:2">
      <c r="A106" s="8">
        <v>89</v>
      </c>
      <c r="B106" s="10">
        <v>24.1214254428542</v>
      </c>
    </row>
    <row r="107" spans="1:2">
      <c r="A107" s="18">
        <v>90</v>
      </c>
      <c r="B107" s="10">
        <v>34.258819039267991</v>
      </c>
    </row>
    <row r="108" spans="1:2">
      <c r="A108" s="8">
        <v>91</v>
      </c>
      <c r="B108" s="10">
        <v>23.653016973063917</v>
      </c>
    </row>
    <row r="109" spans="1:2">
      <c r="A109" s="18">
        <v>92</v>
      </c>
      <c r="B109" s="10">
        <v>20.665748390297914</v>
      </c>
    </row>
    <row r="110" spans="1:2">
      <c r="A110" s="8">
        <v>93</v>
      </c>
      <c r="B110" s="10">
        <v>16.156546346887176</v>
      </c>
    </row>
    <row r="111" spans="1:2">
      <c r="A111" s="18">
        <v>94</v>
      </c>
      <c r="B111" s="10">
        <v>26.934304328256317</v>
      </c>
    </row>
    <row r="112" spans="1:2">
      <c r="A112" s="8">
        <v>95</v>
      </c>
      <c r="B112" s="10">
        <v>26.794921137467139</v>
      </c>
    </row>
    <row r="113" spans="1:2">
      <c r="A113" s="18">
        <v>96</v>
      </c>
      <c r="B113" s="10">
        <v>34.232522839825506</v>
      </c>
    </row>
    <row r="114" spans="1:2">
      <c r="A114" s="8">
        <v>97</v>
      </c>
      <c r="B114" s="10">
        <v>46.412262401130747</v>
      </c>
    </row>
    <row r="115" spans="1:2">
      <c r="A115" s="18">
        <v>98</v>
      </c>
      <c r="B115" s="10">
        <v>14.251509439951127</v>
      </c>
    </row>
    <row r="116" spans="1:2">
      <c r="A116" s="8">
        <v>99</v>
      </c>
      <c r="B116" s="10">
        <v>43.530213437062336</v>
      </c>
    </row>
    <row r="117" spans="1:2">
      <c r="A117" s="18">
        <v>100</v>
      </c>
      <c r="B117" s="10">
        <v>28.49546885425551</v>
      </c>
    </row>
    <row r="118" spans="1:2">
      <c r="A118" s="8">
        <v>101</v>
      </c>
      <c r="B118" s="10">
        <v>27.741417365079553</v>
      </c>
    </row>
    <row r="119" spans="1:2">
      <c r="A119" s="18">
        <v>102</v>
      </c>
      <c r="B119" s="10">
        <v>24.061540772489899</v>
      </c>
    </row>
    <row r="120" spans="1:2">
      <c r="A120" s="8">
        <v>103</v>
      </c>
      <c r="B120" s="10">
        <v>30.12825326683458</v>
      </c>
    </row>
    <row r="121" spans="1:2">
      <c r="A121" s="18">
        <v>104</v>
      </c>
      <c r="B121" s="10">
        <v>32.054484922597524</v>
      </c>
    </row>
    <row r="122" spans="1:2">
      <c r="A122" s="8">
        <v>105</v>
      </c>
      <c r="B122" s="10">
        <v>30.170973641931315</v>
      </c>
    </row>
    <row r="123" spans="1:2">
      <c r="A123" s="18">
        <v>106</v>
      </c>
      <c r="B123" s="10">
        <v>25.043717726893203</v>
      </c>
    </row>
    <row r="124" spans="1:2">
      <c r="A124" s="8">
        <v>107</v>
      </c>
      <c r="B124" s="10">
        <v>31.652866559381632</v>
      </c>
    </row>
    <row r="125" spans="1:2">
      <c r="A125" s="18">
        <v>108</v>
      </c>
      <c r="B125" s="10">
        <v>28.849751781505461</v>
      </c>
    </row>
    <row r="126" spans="1:2">
      <c r="A126" s="8">
        <v>109</v>
      </c>
      <c r="B126" s="10">
        <v>21.526415883951628</v>
      </c>
    </row>
    <row r="127" spans="1:2">
      <c r="A127" s="18">
        <v>110</v>
      </c>
      <c r="B127" s="10">
        <v>25.627217505645177</v>
      </c>
    </row>
    <row r="128" spans="1:2">
      <c r="A128" s="8">
        <v>111</v>
      </c>
      <c r="B128" s="10">
        <v>37.405788724223953</v>
      </c>
    </row>
    <row r="129" spans="1:2">
      <c r="A129" s="18">
        <v>112</v>
      </c>
      <c r="B129" s="10">
        <v>43.007487516935221</v>
      </c>
    </row>
    <row r="130" spans="1:2">
      <c r="A130" s="8">
        <v>113</v>
      </c>
      <c r="B130" s="10">
        <v>31.924952446292476</v>
      </c>
    </row>
    <row r="131" spans="1:2">
      <c r="A131" s="18">
        <v>114</v>
      </c>
      <c r="B131" s="10">
        <v>12.202157611331565</v>
      </c>
    </row>
    <row r="132" spans="1:2">
      <c r="A132" s="8">
        <v>115</v>
      </c>
      <c r="B132" s="10">
        <v>27.342923869312045</v>
      </c>
    </row>
    <row r="133" spans="1:2">
      <c r="A133" s="18">
        <v>116</v>
      </c>
      <c r="B133" s="10">
        <v>27.760435221024665</v>
      </c>
    </row>
    <row r="134" spans="1:2">
      <c r="A134" s="8">
        <v>117</v>
      </c>
      <c r="B134" s="10">
        <v>41.69435407760357</v>
      </c>
    </row>
    <row r="135" spans="1:2">
      <c r="A135" s="18">
        <v>118</v>
      </c>
      <c r="B135" s="10">
        <v>36.010770632319691</v>
      </c>
    </row>
    <row r="136" spans="1:2">
      <c r="A136" s="8">
        <v>119</v>
      </c>
      <c r="B136" s="10">
        <v>39.091751382153255</v>
      </c>
    </row>
    <row r="137" spans="1:2">
      <c r="A137" s="18">
        <v>120</v>
      </c>
      <c r="B137" s="10">
        <v>32.294056468623097</v>
      </c>
    </row>
    <row r="138" spans="1:2">
      <c r="A138" s="8">
        <v>121</v>
      </c>
      <c r="B138" s="10">
        <v>35.056485639395191</v>
      </c>
    </row>
    <row r="139" spans="1:2">
      <c r="A139" s="18">
        <v>122</v>
      </c>
      <c r="B139" s="10">
        <v>29.462745478061283</v>
      </c>
    </row>
    <row r="140" spans="1:2">
      <c r="A140" s="8">
        <v>123</v>
      </c>
      <c r="B140" s="10">
        <v>24.268485836330854</v>
      </c>
    </row>
    <row r="141" spans="1:2">
      <c r="A141" s="18">
        <v>124</v>
      </c>
      <c r="B141" s="10">
        <v>19.811360370914585</v>
      </c>
    </row>
    <row r="142" spans="1:2">
      <c r="A142" s="8">
        <v>125</v>
      </c>
      <c r="B142" s="10">
        <v>24.253259405612791</v>
      </c>
    </row>
    <row r="143" spans="1:2">
      <c r="A143" s="18">
        <v>126</v>
      </c>
      <c r="B143" s="10">
        <v>27.796137000248446</v>
      </c>
    </row>
    <row r="144" spans="1:2">
      <c r="A144" s="8">
        <v>127</v>
      </c>
      <c r="B144" s="10">
        <v>24.730702246491553</v>
      </c>
    </row>
    <row r="145" spans="1:2">
      <c r="A145" s="18">
        <v>128</v>
      </c>
      <c r="B145" s="10">
        <v>14.962710174362424</v>
      </c>
    </row>
    <row r="146" spans="1:2">
      <c r="A146" s="8">
        <v>129</v>
      </c>
      <c r="B146" s="10">
        <v>27.59565664736602</v>
      </c>
    </row>
    <row r="147" spans="1:2">
      <c r="A147" s="18">
        <v>130</v>
      </c>
      <c r="B147" s="10">
        <v>23.897007612304552</v>
      </c>
    </row>
    <row r="148" spans="1:2">
      <c r="A148" s="8">
        <v>131</v>
      </c>
      <c r="B148" s="10">
        <v>28.564147928122402</v>
      </c>
    </row>
    <row r="149" spans="1:2">
      <c r="A149" s="18">
        <v>132</v>
      </c>
      <c r="B149" s="10">
        <v>19.98089045598056</v>
      </c>
    </row>
    <row r="150" spans="1:2">
      <c r="A150" s="8">
        <v>133</v>
      </c>
      <c r="B150" s="10">
        <v>11.454227863415722</v>
      </c>
    </row>
    <row r="151" spans="1:2">
      <c r="A151" s="18">
        <v>134</v>
      </c>
      <c r="B151" s="10">
        <v>32.107824924506019</v>
      </c>
    </row>
    <row r="152" spans="1:2">
      <c r="A152" s="8">
        <v>135</v>
      </c>
      <c r="B152" s="10">
        <v>14.825796551373053</v>
      </c>
    </row>
    <row r="153" spans="1:2">
      <c r="A153" s="18">
        <v>136</v>
      </c>
      <c r="B153" s="10">
        <v>24.300623587320533</v>
      </c>
    </row>
    <row r="154" spans="1:2">
      <c r="A154" s="8">
        <v>137</v>
      </c>
      <c r="B154" s="10">
        <v>26.095406873442236</v>
      </c>
    </row>
    <row r="155" spans="1:2">
      <c r="A155" s="18">
        <v>138</v>
      </c>
      <c r="B155" s="10">
        <v>36.048291011563364</v>
      </c>
    </row>
    <row r="156" spans="1:2">
      <c r="A156" s="8">
        <v>139</v>
      </c>
      <c r="B156" s="10">
        <v>30.185623016216244</v>
      </c>
    </row>
    <row r="157" spans="1:2">
      <c r="A157" s="18">
        <v>140</v>
      </c>
      <c r="B157" s="10">
        <v>34.594676430591562</v>
      </c>
    </row>
    <row r="158" spans="1:2">
      <c r="A158" s="8">
        <v>141</v>
      </c>
      <c r="B158" s="10">
        <v>24.286089627400742</v>
      </c>
    </row>
    <row r="159" spans="1:2">
      <c r="A159" s="18">
        <v>142</v>
      </c>
      <c r="B159" s="10">
        <v>23.989135514130634</v>
      </c>
    </row>
    <row r="160" spans="1:2">
      <c r="A160" s="8">
        <v>143</v>
      </c>
      <c r="B160" s="10">
        <v>30.832743974697649</v>
      </c>
    </row>
    <row r="161" spans="1:2">
      <c r="A161" s="18">
        <v>144</v>
      </c>
      <c r="B161" s="10">
        <v>27.45372653442401</v>
      </c>
    </row>
    <row r="162" spans="1:2">
      <c r="A162" s="8">
        <v>145</v>
      </c>
      <c r="B162" s="10">
        <v>40.798453355433026</v>
      </c>
    </row>
    <row r="163" spans="1:2">
      <c r="A163" s="18">
        <v>146</v>
      </c>
      <c r="B163" s="10">
        <v>27.270247412670699</v>
      </c>
    </row>
    <row r="164" spans="1:2">
      <c r="A164" s="8">
        <v>147</v>
      </c>
      <c r="B164" s="10">
        <v>17.043166153787375</v>
      </c>
    </row>
    <row r="165" spans="1:2">
      <c r="A165" s="18">
        <v>148</v>
      </c>
      <c r="B165" s="10">
        <v>37.328538214631209</v>
      </c>
    </row>
    <row r="166" spans="1:2">
      <c r="A166" s="8">
        <v>149</v>
      </c>
      <c r="B166" s="10">
        <v>24.724142466493891</v>
      </c>
    </row>
    <row r="167" spans="1:2">
      <c r="A167" s="18">
        <v>150</v>
      </c>
      <c r="B167" s="10">
        <v>14.462815253834723</v>
      </c>
    </row>
    <row r="168" spans="1:2">
      <c r="A168" s="8">
        <v>151</v>
      </c>
      <c r="B168" s="10">
        <v>26.093833936799932</v>
      </c>
    </row>
    <row r="169" spans="1:2">
      <c r="A169" s="18">
        <v>152</v>
      </c>
      <c r="B169" s="10">
        <v>43.091300753272478</v>
      </c>
    </row>
    <row r="170" spans="1:2">
      <c r="A170" s="8">
        <v>153</v>
      </c>
      <c r="B170" s="10">
        <v>36.914847504957677</v>
      </c>
    </row>
    <row r="171" spans="1:2">
      <c r="A171" s="18">
        <v>154</v>
      </c>
      <c r="B171" s="10">
        <v>28.40321474966899</v>
      </c>
    </row>
    <row r="172" spans="1:2">
      <c r="A172" s="8">
        <v>155</v>
      </c>
      <c r="B172" s="10">
        <v>35.898196398605087</v>
      </c>
    </row>
    <row r="173" spans="1:2">
      <c r="A173" s="18">
        <v>156</v>
      </c>
      <c r="B173" s="10">
        <v>29.84800069322732</v>
      </c>
    </row>
    <row r="174" spans="1:2">
      <c r="A174" s="8">
        <v>157</v>
      </c>
      <c r="B174" s="10">
        <v>32.063458106298128</v>
      </c>
    </row>
    <row r="175" spans="1:2">
      <c r="A175" s="18">
        <v>158</v>
      </c>
      <c r="B175" s="10">
        <v>17.628621805170248</v>
      </c>
    </row>
    <row r="176" spans="1:2">
      <c r="A176" s="8">
        <v>159</v>
      </c>
      <c r="B176" s="10">
        <v>16.702165403501624</v>
      </c>
    </row>
    <row r="177" spans="1:2">
      <c r="A177" s="18">
        <v>160</v>
      </c>
      <c r="B177" s="10">
        <v>41.352966526343415</v>
      </c>
    </row>
    <row r="178" spans="1:2">
      <c r="A178" s="8">
        <v>161</v>
      </c>
      <c r="B178" s="10">
        <v>28.007375528027939</v>
      </c>
    </row>
    <row r="179" spans="1:2">
      <c r="A179" s="18">
        <v>162</v>
      </c>
      <c r="B179" s="10">
        <v>27.158796471248177</v>
      </c>
    </row>
    <row r="180" spans="1:2">
      <c r="A180" s="8">
        <v>163</v>
      </c>
      <c r="B180" s="10">
        <v>17.824174653526093</v>
      </c>
    </row>
    <row r="181" spans="1:2">
      <c r="A181" s="18">
        <v>164</v>
      </c>
      <c r="B181" s="10">
        <v>32.572665746365182</v>
      </c>
    </row>
    <row r="182" spans="1:2">
      <c r="A182" s="8">
        <v>165</v>
      </c>
      <c r="B182" s="10">
        <v>32.550042845094772</v>
      </c>
    </row>
    <row r="183" spans="1:2">
      <c r="A183" s="18">
        <v>166</v>
      </c>
      <c r="B183" s="10">
        <v>23.84458413646556</v>
      </c>
    </row>
    <row r="184" spans="1:2">
      <c r="A184" s="8">
        <v>167</v>
      </c>
      <c r="B184" s="10">
        <v>34.008590952980853</v>
      </c>
    </row>
    <row r="185" spans="1:2">
      <c r="A185" s="18">
        <v>168</v>
      </c>
      <c r="B185" s="10">
        <v>24.232601853289037</v>
      </c>
    </row>
    <row r="186" spans="1:2">
      <c r="A186" s="8">
        <v>169</v>
      </c>
      <c r="B186" s="10">
        <v>24.834097852162394</v>
      </c>
    </row>
    <row r="187" spans="1:2">
      <c r="A187" s="18">
        <v>170</v>
      </c>
      <c r="B187" s="10">
        <v>22.404643178643692</v>
      </c>
    </row>
    <row r="188" spans="1:2">
      <c r="A188" s="8">
        <v>171</v>
      </c>
      <c r="B188" s="10">
        <v>29.420744222960991</v>
      </c>
    </row>
    <row r="189" spans="1:2">
      <c r="A189" s="18">
        <v>172</v>
      </c>
      <c r="B189" s="10">
        <v>12.368371976803495</v>
      </c>
    </row>
    <row r="190" spans="1:2">
      <c r="A190" s="8">
        <v>173</v>
      </c>
      <c r="B190" s="10">
        <v>21.383734325677562</v>
      </c>
    </row>
    <row r="191" spans="1:2">
      <c r="A191" s="18">
        <v>174</v>
      </c>
      <c r="B191" s="10">
        <v>23.79356672989503</v>
      </c>
    </row>
    <row r="192" spans="1:2">
      <c r="A192" s="8">
        <v>175</v>
      </c>
      <c r="B192" s="10">
        <v>17.080534690259448</v>
      </c>
    </row>
    <row r="193" spans="1:2">
      <c r="A193" s="18">
        <v>176</v>
      </c>
      <c r="B193" s="10">
        <v>13.408628513271637</v>
      </c>
    </row>
    <row r="194" spans="1:2">
      <c r="A194" s="8">
        <v>177</v>
      </c>
      <c r="B194" s="10">
        <v>17.099097895334317</v>
      </c>
    </row>
    <row r="195" spans="1:2">
      <c r="A195" s="18">
        <v>178</v>
      </c>
      <c r="B195" s="10">
        <v>38.363254914569318</v>
      </c>
    </row>
    <row r="196" spans="1:2">
      <c r="A196" s="8">
        <v>179</v>
      </c>
      <c r="B196" s="10">
        <v>33.460054580202012</v>
      </c>
    </row>
    <row r="197" spans="1:2">
      <c r="A197" s="18">
        <v>180</v>
      </c>
      <c r="B197" s="10">
        <v>35.188053641763652</v>
      </c>
    </row>
    <row r="198" spans="1:2">
      <c r="A198" s="8">
        <v>181</v>
      </c>
      <c r="B198" s="10">
        <v>40.369359832263463</v>
      </c>
    </row>
    <row r="199" spans="1:2">
      <c r="A199" s="18">
        <v>182</v>
      </c>
      <c r="B199" s="10">
        <v>26.125078496489849</v>
      </c>
    </row>
    <row r="200" spans="1:2">
      <c r="A200" s="8">
        <v>183</v>
      </c>
      <c r="B200" s="10">
        <v>13.245075367099034</v>
      </c>
    </row>
    <row r="201" spans="1:2">
      <c r="A201" s="18">
        <v>184</v>
      </c>
      <c r="B201" s="10">
        <v>35.014683247128374</v>
      </c>
    </row>
    <row r="202" spans="1:2">
      <c r="A202" s="8">
        <v>185</v>
      </c>
      <c r="B202" s="10">
        <v>18.48524388376152</v>
      </c>
    </row>
    <row r="203" spans="1:2">
      <c r="A203" s="18">
        <v>186</v>
      </c>
      <c r="B203" s="10">
        <v>32.772279187972856</v>
      </c>
    </row>
    <row r="204" spans="1:2">
      <c r="A204" s="8">
        <v>187</v>
      </c>
      <c r="B204" s="10">
        <v>12.922378258382505</v>
      </c>
    </row>
    <row r="205" spans="1:2">
      <c r="A205" s="18">
        <v>188</v>
      </c>
      <c r="B205" s="10">
        <v>30.831546901725353</v>
      </c>
    </row>
    <row r="206" spans="1:2">
      <c r="A206" s="8">
        <v>189</v>
      </c>
      <c r="B206" s="10">
        <v>13.994845906986599</v>
      </c>
    </row>
    <row r="207" spans="1:2">
      <c r="A207" s="18">
        <v>190</v>
      </c>
      <c r="B207" s="10">
        <v>39.262510890257765</v>
      </c>
    </row>
    <row r="208" spans="1:2">
      <c r="A208" s="8">
        <v>191</v>
      </c>
      <c r="B208" s="10">
        <v>32.662942500823164</v>
      </c>
    </row>
    <row r="209" spans="1:2">
      <c r="A209" s="18">
        <v>192</v>
      </c>
      <c r="B209" s="10">
        <v>30.318884185047917</v>
      </c>
    </row>
    <row r="210" spans="1:2">
      <c r="A210" s="8">
        <v>193</v>
      </c>
      <c r="B210" s="10">
        <v>30.937416301710044</v>
      </c>
    </row>
    <row r="211" spans="1:2">
      <c r="A211" s="18">
        <v>194</v>
      </c>
      <c r="B211" s="10">
        <v>29.126704811766743</v>
      </c>
    </row>
    <row r="212" spans="1:2">
      <c r="A212" s="8">
        <v>195</v>
      </c>
      <c r="B212" s="10">
        <v>35.402863246723577</v>
      </c>
    </row>
    <row r="213" spans="1:2">
      <c r="A213" s="18">
        <v>196</v>
      </c>
      <c r="B213" s="10">
        <v>32.76713957820516</v>
      </c>
    </row>
    <row r="214" spans="1:2">
      <c r="A214" s="8">
        <v>197</v>
      </c>
      <c r="B214" s="10">
        <v>22.421601691865117</v>
      </c>
    </row>
    <row r="215" spans="1:2">
      <c r="A215" s="18">
        <v>198</v>
      </c>
      <c r="B215" s="10">
        <v>37.492825809450494</v>
      </c>
    </row>
    <row r="216" spans="1:2">
      <c r="A216" s="8">
        <v>199</v>
      </c>
      <c r="B216" s="10">
        <v>39.982372508985783</v>
      </c>
    </row>
    <row r="217" spans="1:2">
      <c r="A217" s="18">
        <v>200</v>
      </c>
      <c r="B217" s="10">
        <v>23.254579135929536</v>
      </c>
    </row>
    <row r="218" spans="1:2">
      <c r="A218" s="8">
        <v>201</v>
      </c>
      <c r="B218" s="10">
        <v>37.665787258421922</v>
      </c>
    </row>
    <row r="219" spans="1:2">
      <c r="A219" s="18">
        <v>202</v>
      </c>
      <c r="B219" s="10">
        <v>23.711996294281469</v>
      </c>
    </row>
    <row r="220" spans="1:2">
      <c r="A220" s="8">
        <v>203</v>
      </c>
      <c r="B220" s="10">
        <v>21.651067570006628</v>
      </c>
    </row>
    <row r="221" spans="1:2">
      <c r="A221" s="18">
        <v>204</v>
      </c>
      <c r="B221" s="10">
        <v>26.746929376959727</v>
      </c>
    </row>
    <row r="222" spans="1:2">
      <c r="A222" s="8">
        <v>205</v>
      </c>
      <c r="B222" s="10">
        <v>23.126345647890307</v>
      </c>
    </row>
    <row r="223" spans="1:2">
      <c r="A223" s="18">
        <v>206</v>
      </c>
      <c r="B223" s="10">
        <v>12.886550719889346</v>
      </c>
    </row>
    <row r="224" spans="1:2">
      <c r="A224" s="8">
        <v>207</v>
      </c>
      <c r="B224" s="10">
        <v>24.377978562335915</v>
      </c>
    </row>
    <row r="225" spans="1:2">
      <c r="A225" s="18">
        <v>208</v>
      </c>
      <c r="B225" s="10">
        <v>19.132224861002197</v>
      </c>
    </row>
    <row r="226" spans="1:2">
      <c r="A226" s="8">
        <v>209</v>
      </c>
      <c r="B226" s="10">
        <v>32.364581971396454</v>
      </c>
    </row>
    <row r="227" spans="1:2">
      <c r="A227" s="18">
        <v>210</v>
      </c>
      <c r="B227" s="10">
        <v>20.305434591883696</v>
      </c>
    </row>
    <row r="228" spans="1:2">
      <c r="A228" s="8">
        <v>211</v>
      </c>
      <c r="B228" s="10">
        <v>19.869624332343733</v>
      </c>
    </row>
    <row r="229" spans="1:2">
      <c r="A229" s="18">
        <v>212</v>
      </c>
      <c r="B229" s="10">
        <v>24.455318077698617</v>
      </c>
    </row>
    <row r="230" spans="1:2">
      <c r="A230" s="8">
        <v>213</v>
      </c>
      <c r="B230" s="10">
        <v>35.743735081840384</v>
      </c>
    </row>
    <row r="231" spans="1:2">
      <c r="A231" s="18">
        <v>214</v>
      </c>
      <c r="B231" s="10">
        <v>21.564316832880067</v>
      </c>
    </row>
    <row r="232" spans="1:2">
      <c r="A232" s="8">
        <v>215</v>
      </c>
      <c r="B232" s="10">
        <v>25.671913363408112</v>
      </c>
    </row>
    <row r="233" spans="1:2">
      <c r="A233" s="18">
        <v>216</v>
      </c>
      <c r="B233" s="10">
        <v>10.413575920210462</v>
      </c>
    </row>
    <row r="234" spans="1:2">
      <c r="A234" s="8">
        <v>217</v>
      </c>
      <c r="B234" s="10">
        <v>34.966602950777471</v>
      </c>
    </row>
    <row r="235" spans="1:2">
      <c r="A235" s="18">
        <v>218</v>
      </c>
      <c r="B235" s="10">
        <v>24.000300755856951</v>
      </c>
    </row>
    <row r="236" spans="1:2">
      <c r="A236" s="8">
        <v>219</v>
      </c>
      <c r="B236" s="10">
        <v>42.006436615658558</v>
      </c>
    </row>
    <row r="237" spans="1:2">
      <c r="A237" s="18">
        <v>220</v>
      </c>
      <c r="B237" s="10">
        <v>21.238766039714115</v>
      </c>
    </row>
    <row r="238" spans="1:2">
      <c r="A238" s="8">
        <v>221</v>
      </c>
      <c r="B238" s="10">
        <v>24.996563488389381</v>
      </c>
    </row>
    <row r="239" spans="1:2">
      <c r="A239" s="18">
        <v>222</v>
      </c>
      <c r="B239" s="10">
        <v>40.386479292038963</v>
      </c>
    </row>
    <row r="240" spans="1:2">
      <c r="A240" s="8">
        <v>223</v>
      </c>
      <c r="B240" s="10">
        <v>26.790924604760615</v>
      </c>
    </row>
    <row r="241" spans="1:2">
      <c r="A241" s="18">
        <v>224</v>
      </c>
      <c r="B241" s="10">
        <v>33.076812423822219</v>
      </c>
    </row>
    <row r="242" spans="1:2">
      <c r="A242" s="8">
        <v>225</v>
      </c>
      <c r="B242" s="10">
        <v>45.449725962019912</v>
      </c>
    </row>
    <row r="243" spans="1:2">
      <c r="A243" s="18">
        <v>226</v>
      </c>
      <c r="B243" s="10">
        <v>15.000440564509912</v>
      </c>
    </row>
    <row r="244" spans="1:2">
      <c r="A244" s="8">
        <v>227</v>
      </c>
      <c r="B244" s="10">
        <v>30.834736689091731</v>
      </c>
    </row>
    <row r="245" spans="1:2">
      <c r="A245" s="18">
        <v>228</v>
      </c>
      <c r="B245" s="10">
        <v>30.916645113902938</v>
      </c>
    </row>
    <row r="246" spans="1:2">
      <c r="A246" s="8">
        <v>229</v>
      </c>
      <c r="B246" s="10">
        <v>18.182697630530988</v>
      </c>
    </row>
    <row r="247" spans="1:2">
      <c r="A247" s="18">
        <v>230</v>
      </c>
      <c r="B247" s="10">
        <v>45.739632707497378</v>
      </c>
    </row>
    <row r="248" spans="1:2">
      <c r="A248" s="8">
        <v>231</v>
      </c>
      <c r="B248" s="10">
        <v>20.862918373485261</v>
      </c>
    </row>
    <row r="249" spans="1:2">
      <c r="A249" s="18">
        <v>232</v>
      </c>
      <c r="B249" s="10">
        <v>25.91300973605588</v>
      </c>
    </row>
    <row r="250" spans="1:2">
      <c r="A250" s="8">
        <v>233</v>
      </c>
      <c r="B250" s="10">
        <v>21.372620783629394</v>
      </c>
    </row>
    <row r="251" spans="1:2">
      <c r="A251" s="18">
        <v>234</v>
      </c>
      <c r="B251" s="10">
        <v>24.321346482154127</v>
      </c>
    </row>
    <row r="252" spans="1:2">
      <c r="A252" s="8">
        <v>235</v>
      </c>
      <c r="B252" s="10">
        <v>41.574225831677531</v>
      </c>
    </row>
    <row r="253" spans="1:2">
      <c r="A253" s="18">
        <v>236</v>
      </c>
      <c r="B253" s="10">
        <v>32.650842675248811</v>
      </c>
    </row>
    <row r="254" spans="1:2">
      <c r="A254" s="8">
        <v>237</v>
      </c>
      <c r="B254" s="10">
        <v>44.652683394790046</v>
      </c>
    </row>
    <row r="255" spans="1:2">
      <c r="A255" s="18">
        <v>238</v>
      </c>
      <c r="B255" s="10">
        <v>10.978472920942293</v>
      </c>
    </row>
    <row r="256" spans="1:2">
      <c r="A256" s="8">
        <v>239</v>
      </c>
      <c r="B256" s="10">
        <v>27.73248785377799</v>
      </c>
    </row>
    <row r="257" spans="1:2">
      <c r="A257" s="18">
        <v>240</v>
      </c>
      <c r="B257" s="10">
        <v>13.252326698120124</v>
      </c>
    </row>
    <row r="258" spans="1:2">
      <c r="A258" s="8">
        <v>241</v>
      </c>
      <c r="B258" s="10">
        <v>18.841713113642996</v>
      </c>
    </row>
    <row r="259" spans="1:2">
      <c r="A259" s="18">
        <v>242</v>
      </c>
      <c r="B259" s="10">
        <v>36.296311842278399</v>
      </c>
    </row>
    <row r="260" spans="1:2">
      <c r="A260" s="8">
        <v>243</v>
      </c>
      <c r="B260" s="10">
        <v>24.241197287614021</v>
      </c>
    </row>
    <row r="261" spans="1:2">
      <c r="A261" s="18">
        <v>244</v>
      </c>
      <c r="B261" s="10">
        <v>12.356687478317273</v>
      </c>
    </row>
    <row r="262" spans="1:2">
      <c r="A262" s="8">
        <v>245</v>
      </c>
      <c r="B262" s="10">
        <v>18.075097632976856</v>
      </c>
    </row>
    <row r="263" spans="1:2">
      <c r="A263" s="18">
        <v>246</v>
      </c>
      <c r="B263" s="10">
        <v>47.469833725329018</v>
      </c>
    </row>
    <row r="264" spans="1:2">
      <c r="A264" s="8">
        <v>247</v>
      </c>
      <c r="B264" s="10">
        <v>21.550312011166266</v>
      </c>
    </row>
    <row r="265" spans="1:2">
      <c r="A265" s="18">
        <v>248</v>
      </c>
      <c r="B265" s="10">
        <v>24.529104815688196</v>
      </c>
    </row>
    <row r="266" spans="1:2">
      <c r="A266" s="8">
        <v>249</v>
      </c>
      <c r="B266" s="10">
        <v>18.325420263963515</v>
      </c>
    </row>
    <row r="267" spans="1:2">
      <c r="A267" s="18">
        <v>250</v>
      </c>
      <c r="B267" s="10">
        <v>22.240583154031597</v>
      </c>
    </row>
    <row r="268" spans="1:2">
      <c r="A268" s="8">
        <v>251</v>
      </c>
      <c r="B268" s="10">
        <v>29.911324446660547</v>
      </c>
    </row>
    <row r="269" spans="1:2">
      <c r="A269" s="18">
        <v>252</v>
      </c>
      <c r="B269" s="10">
        <v>33.2060019486253</v>
      </c>
    </row>
    <row r="270" spans="1:2">
      <c r="A270" s="8">
        <v>253</v>
      </c>
      <c r="B270" s="10">
        <v>38.41728532149402</v>
      </c>
    </row>
    <row r="271" spans="1:2">
      <c r="A271" s="18">
        <v>254</v>
      </c>
      <c r="B271" s="10">
        <v>37.075389306273593</v>
      </c>
    </row>
    <row r="272" spans="1:2">
      <c r="A272" s="8">
        <v>255</v>
      </c>
      <c r="B272" s="10">
        <v>37.434489839000868</v>
      </c>
    </row>
    <row r="273" spans="1:2">
      <c r="A273" s="18">
        <v>256</v>
      </c>
      <c r="B273" s="10">
        <v>17.632396164625366</v>
      </c>
    </row>
    <row r="274" spans="1:2">
      <c r="A274" s="8">
        <v>257</v>
      </c>
      <c r="B274" s="10">
        <v>34.212247320843574</v>
      </c>
    </row>
    <row r="275" spans="1:2">
      <c r="A275" s="18">
        <v>258</v>
      </c>
      <c r="B275" s="10">
        <v>31.555656660660876</v>
      </c>
    </row>
    <row r="276" spans="1:2">
      <c r="A276" s="8">
        <v>259</v>
      </c>
      <c r="B276" s="10">
        <v>40.111381997442706</v>
      </c>
    </row>
    <row r="277" spans="1:2">
      <c r="A277" s="18">
        <v>260</v>
      </c>
      <c r="B277" s="10">
        <v>29.663989784348491</v>
      </c>
    </row>
    <row r="278" spans="1:2">
      <c r="A278" s="8">
        <v>261</v>
      </c>
      <c r="B278" s="10">
        <v>16.110627934753268</v>
      </c>
    </row>
    <row r="279" spans="1:2">
      <c r="A279" s="18">
        <v>262</v>
      </c>
      <c r="B279" s="10">
        <v>13.37881319112574</v>
      </c>
    </row>
    <row r="280" spans="1:2">
      <c r="A280" s="8">
        <v>263</v>
      </c>
      <c r="B280" s="10">
        <v>30.538436574144185</v>
      </c>
    </row>
    <row r="281" spans="1:2">
      <c r="A281" s="18">
        <v>264</v>
      </c>
      <c r="B281" s="10">
        <v>27.724088291036121</v>
      </c>
    </row>
    <row r="282" spans="1:2">
      <c r="A282" s="8">
        <v>265</v>
      </c>
      <c r="B282" s="10">
        <v>38.540773565761825</v>
      </c>
    </row>
    <row r="283" spans="1:2">
      <c r="A283" s="18">
        <v>266</v>
      </c>
      <c r="B283" s="10">
        <v>13.225229133695315</v>
      </c>
    </row>
    <row r="284" spans="1:2">
      <c r="A284" s="8">
        <v>267</v>
      </c>
      <c r="B284" s="10">
        <v>28.362577743709416</v>
      </c>
    </row>
    <row r="285" spans="1:2">
      <c r="A285" s="18">
        <v>268</v>
      </c>
      <c r="B285" s="10">
        <v>24.398798392867363</v>
      </c>
    </row>
    <row r="286" spans="1:2">
      <c r="A286" s="8">
        <v>269</v>
      </c>
      <c r="B286" s="10">
        <v>28.46626634157731</v>
      </c>
    </row>
    <row r="287" spans="1:2">
      <c r="A287" s="18">
        <v>270</v>
      </c>
      <c r="B287" s="10">
        <v>15.821710414504027</v>
      </c>
    </row>
    <row r="288" spans="1:2">
      <c r="A288" s="8">
        <v>271</v>
      </c>
      <c r="B288" s="10">
        <v>18.785568124621456</v>
      </c>
    </row>
    <row r="289" spans="1:2">
      <c r="A289" s="18">
        <v>272</v>
      </c>
      <c r="B289" s="10">
        <v>11.150602284392694</v>
      </c>
    </row>
    <row r="290" spans="1:2">
      <c r="A290" s="8">
        <v>273</v>
      </c>
      <c r="B290" s="10">
        <v>25.40312089868722</v>
      </c>
    </row>
    <row r="291" spans="1:2">
      <c r="A291" s="18">
        <v>274</v>
      </c>
      <c r="B291" s="10">
        <v>22.383513886794759</v>
      </c>
    </row>
    <row r="292" spans="1:2">
      <c r="A292" s="8">
        <v>275</v>
      </c>
      <c r="B292" s="10">
        <v>22.702857546100834</v>
      </c>
    </row>
    <row r="293" spans="1:2">
      <c r="A293" s="18">
        <v>276</v>
      </c>
      <c r="B293" s="10">
        <v>25.192906835200056</v>
      </c>
    </row>
    <row r="294" spans="1:2">
      <c r="A294" s="8">
        <v>277</v>
      </c>
      <c r="B294" s="10">
        <v>39.28155701629727</v>
      </c>
    </row>
    <row r="295" spans="1:2">
      <c r="A295" s="18">
        <v>278</v>
      </c>
      <c r="B295" s="10">
        <v>26.428163469920953</v>
      </c>
    </row>
    <row r="296" spans="1:2">
      <c r="A296" s="8">
        <v>279</v>
      </c>
      <c r="B296" s="10">
        <v>24.082696953720426</v>
      </c>
    </row>
    <row r="297" spans="1:2">
      <c r="A297" s="18">
        <v>280</v>
      </c>
      <c r="B297" s="10">
        <v>31.641196958603846</v>
      </c>
    </row>
    <row r="298" spans="1:2">
      <c r="A298" s="8">
        <v>281</v>
      </c>
      <c r="B298" s="10">
        <v>35.187174094900413</v>
      </c>
    </row>
    <row r="299" spans="1:2">
      <c r="A299" s="18">
        <v>282</v>
      </c>
      <c r="B299" s="10">
        <v>18.517142332598887</v>
      </c>
    </row>
    <row r="300" spans="1:2">
      <c r="A300" s="8">
        <v>283</v>
      </c>
      <c r="B300" s="10">
        <v>30.16502564062014</v>
      </c>
    </row>
    <row r="301" spans="1:2">
      <c r="A301" s="18">
        <v>284</v>
      </c>
      <c r="B301" s="10">
        <v>45.082087750909636</v>
      </c>
    </row>
    <row r="302" spans="1:2">
      <c r="A302" s="8">
        <v>285</v>
      </c>
      <c r="B302" s="10">
        <v>24.908572956441915</v>
      </c>
    </row>
    <row r="303" spans="1:2">
      <c r="A303" s="18">
        <v>286</v>
      </c>
      <c r="B303" s="10">
        <v>28.250139992328567</v>
      </c>
    </row>
    <row r="304" spans="1:2">
      <c r="A304" s="8">
        <v>287</v>
      </c>
      <c r="B304" s="10">
        <v>27.313432018364253</v>
      </c>
    </row>
    <row r="305" spans="1:2">
      <c r="A305" s="18">
        <v>288</v>
      </c>
      <c r="B305" s="10">
        <v>28.57841503304952</v>
      </c>
    </row>
    <row r="306" spans="1:2">
      <c r="A306" s="8">
        <v>289</v>
      </c>
      <c r="B306" s="10">
        <v>20.492990200132667</v>
      </c>
    </row>
    <row r="307" spans="1:2">
      <c r="A307" s="18">
        <v>290</v>
      </c>
      <c r="B307" s="10">
        <v>14.928020771695051</v>
      </c>
    </row>
    <row r="308" spans="1:2">
      <c r="A308" s="8">
        <v>291</v>
      </c>
      <c r="B308" s="10">
        <v>32.456260474523781</v>
      </c>
    </row>
    <row r="309" spans="1:2">
      <c r="A309" s="18">
        <v>292</v>
      </c>
      <c r="B309" s="10">
        <v>27.412684243566662</v>
      </c>
    </row>
    <row r="310" spans="1:2">
      <c r="A310" s="8">
        <v>293</v>
      </c>
      <c r="B310" s="10">
        <v>18.920852926877558</v>
      </c>
    </row>
    <row r="311" spans="1:2">
      <c r="A311" s="18">
        <v>294</v>
      </c>
      <c r="B311" s="10">
        <v>10.043357368322697</v>
      </c>
    </row>
    <row r="312" spans="1:2">
      <c r="A312" s="8">
        <v>295</v>
      </c>
      <c r="B312" s="10">
        <v>29.825712676525633</v>
      </c>
    </row>
    <row r="313" spans="1:2">
      <c r="A313" s="18">
        <v>296</v>
      </c>
      <c r="B313" s="10">
        <v>24.557917125026993</v>
      </c>
    </row>
    <row r="314" spans="1:2">
      <c r="A314" s="8">
        <v>297</v>
      </c>
      <c r="B314" s="10">
        <v>15.986302080398376</v>
      </c>
    </row>
    <row r="315" spans="1:2">
      <c r="A315" s="18">
        <v>298</v>
      </c>
      <c r="B315" s="10">
        <v>25.301965454119724</v>
      </c>
    </row>
    <row r="316" spans="1:2">
      <c r="A316" s="8">
        <v>299</v>
      </c>
      <c r="B316" s="10">
        <v>33.704521985146698</v>
      </c>
    </row>
    <row r="317" spans="1:2">
      <c r="A317" s="18">
        <v>300</v>
      </c>
      <c r="B317" s="10">
        <v>13.569521884257787</v>
      </c>
    </row>
    <row r="318" spans="1:2">
      <c r="A318" s="8">
        <v>301</v>
      </c>
      <c r="B318" s="10">
        <v>24.717401570020428</v>
      </c>
    </row>
    <row r="319" spans="1:2">
      <c r="A319" s="18">
        <v>302</v>
      </c>
      <c r="B319" s="10">
        <v>20.982314709331192</v>
      </c>
    </row>
    <row r="320" spans="1:2">
      <c r="A320" s="8">
        <v>303</v>
      </c>
      <c r="B320" s="10">
        <v>32.357360933929336</v>
      </c>
    </row>
    <row r="321" spans="1:2">
      <c r="A321" s="18">
        <v>304</v>
      </c>
      <c r="B321" s="10">
        <v>23.309659051672792</v>
      </c>
    </row>
    <row r="322" spans="1:2">
      <c r="A322" s="8">
        <v>305</v>
      </c>
      <c r="B322" s="10">
        <v>26.239676609152852</v>
      </c>
    </row>
    <row r="323" spans="1:2">
      <c r="A323" s="18">
        <v>306</v>
      </c>
      <c r="B323" s="10">
        <v>31.538251859501298</v>
      </c>
    </row>
    <row r="324" spans="1:2">
      <c r="A324" s="8">
        <v>307</v>
      </c>
      <c r="B324" s="10">
        <v>26.106836783587816</v>
      </c>
    </row>
    <row r="325" spans="1:2">
      <c r="A325" s="18">
        <v>308</v>
      </c>
      <c r="B325" s="10">
        <v>29.851912283986977</v>
      </c>
    </row>
    <row r="326" spans="1:2">
      <c r="A326" s="8">
        <v>309</v>
      </c>
      <c r="B326" s="10">
        <v>9.5120937544773252</v>
      </c>
    </row>
    <row r="327" spans="1:2">
      <c r="A327" s="18">
        <v>310</v>
      </c>
      <c r="B327" s="10">
        <v>18.894273047529538</v>
      </c>
    </row>
    <row r="328" spans="1:2">
      <c r="A328" s="8">
        <v>311</v>
      </c>
      <c r="B328" s="10">
        <v>42.950899084873321</v>
      </c>
    </row>
    <row r="329" spans="1:2">
      <c r="A329" s="18">
        <v>312</v>
      </c>
      <c r="B329" s="10">
        <v>31.349357070226418</v>
      </c>
    </row>
    <row r="330" spans="1:2">
      <c r="A330" s="8">
        <v>313</v>
      </c>
      <c r="B330" s="10">
        <v>20.152974581076549</v>
      </c>
    </row>
    <row r="331" spans="1:2">
      <c r="A331" s="18">
        <v>314</v>
      </c>
      <c r="B331" s="10">
        <v>20.760796351896079</v>
      </c>
    </row>
    <row r="332" spans="1:2">
      <c r="A332" s="8">
        <v>315</v>
      </c>
      <c r="B332" s="10">
        <v>15.660836809658756</v>
      </c>
    </row>
    <row r="333" spans="1:2">
      <c r="A333" s="18">
        <v>316</v>
      </c>
      <c r="B333" s="10">
        <v>23.558896521940273</v>
      </c>
    </row>
    <row r="334" spans="1:2">
      <c r="A334" s="8">
        <v>317</v>
      </c>
      <c r="B334" s="10">
        <v>20.42928247789834</v>
      </c>
    </row>
    <row r="335" spans="1:2">
      <c r="A335" s="18">
        <v>318</v>
      </c>
      <c r="B335" s="10">
        <v>33.678868397450053</v>
      </c>
    </row>
    <row r="336" spans="1:2">
      <c r="A336" s="8">
        <v>319</v>
      </c>
      <c r="B336" s="10">
        <v>17.341384481753117</v>
      </c>
    </row>
    <row r="337" spans="1:2">
      <c r="A337" s="18">
        <v>320</v>
      </c>
      <c r="B337" s="10">
        <v>21.963008033552086</v>
      </c>
    </row>
    <row r="338" spans="1:2">
      <c r="A338" s="8">
        <v>321</v>
      </c>
      <c r="B338" s="10">
        <v>25.373791746758396</v>
      </c>
    </row>
    <row r="339" spans="1:2">
      <c r="A339" s="18">
        <v>322</v>
      </c>
      <c r="B339" s="10">
        <v>21.674166168527904</v>
      </c>
    </row>
    <row r="340" spans="1:2">
      <c r="A340" s="8">
        <v>323</v>
      </c>
      <c r="B340" s="10">
        <v>13.63804319717871</v>
      </c>
    </row>
    <row r="341" spans="1:2">
      <c r="A341" s="18">
        <v>324</v>
      </c>
      <c r="B341" s="10">
        <v>41.027344595342541</v>
      </c>
    </row>
    <row r="342" spans="1:2">
      <c r="A342" s="8">
        <v>325</v>
      </c>
      <c r="B342" s="10">
        <v>15.856188349251312</v>
      </c>
    </row>
    <row r="343" spans="1:2">
      <c r="A343" s="18">
        <v>326</v>
      </c>
      <c r="B343" s="10">
        <v>30.56084838363433</v>
      </c>
    </row>
    <row r="344" spans="1:2">
      <c r="A344" s="8">
        <v>327</v>
      </c>
      <c r="B344" s="10">
        <v>21.136857976382409</v>
      </c>
    </row>
    <row r="345" spans="1:2">
      <c r="A345" s="18">
        <v>328</v>
      </c>
      <c r="B345" s="10">
        <v>33.077809195366235</v>
      </c>
    </row>
    <row r="346" spans="1:2">
      <c r="A346" s="8">
        <v>329</v>
      </c>
      <c r="B346" s="10">
        <v>16.837679617172817</v>
      </c>
    </row>
    <row r="347" spans="1:2">
      <c r="A347" s="18">
        <v>330</v>
      </c>
      <c r="B347" s="10">
        <v>37.491687565105629</v>
      </c>
    </row>
    <row r="348" spans="1:2">
      <c r="A348" s="8">
        <v>331</v>
      </c>
      <c r="B348" s="10">
        <v>34.431012591386811</v>
      </c>
    </row>
    <row r="349" spans="1:2">
      <c r="A349" s="18">
        <v>332</v>
      </c>
      <c r="B349" s="10">
        <v>23.41663611106021</v>
      </c>
    </row>
    <row r="350" spans="1:2">
      <c r="A350" s="8">
        <v>333</v>
      </c>
      <c r="B350" s="10">
        <v>33.759174658987412</v>
      </c>
    </row>
    <row r="351" spans="1:2">
      <c r="A351" s="18">
        <v>334</v>
      </c>
      <c r="B351" s="10">
        <v>25.806913086338596</v>
      </c>
    </row>
    <row r="352" spans="1:2">
      <c r="A352" s="8">
        <v>335</v>
      </c>
      <c r="B352" s="10">
        <v>32.598453611185576</v>
      </c>
    </row>
    <row r="353" spans="1:2">
      <c r="A353" s="18">
        <v>336</v>
      </c>
      <c r="B353" s="10">
        <v>17.522678529444136</v>
      </c>
    </row>
    <row r="354" spans="1:2">
      <c r="A354" s="8">
        <v>337</v>
      </c>
      <c r="B354" s="10">
        <v>23.026408083132726</v>
      </c>
    </row>
    <row r="355" spans="1:2">
      <c r="A355" s="18">
        <v>338</v>
      </c>
      <c r="B355" s="10">
        <v>25.005837738456606</v>
      </c>
    </row>
    <row r="356" spans="1:2">
      <c r="A356" s="8">
        <v>339</v>
      </c>
      <c r="B356" s="10">
        <v>23.849778052810969</v>
      </c>
    </row>
    <row r="357" spans="1:2">
      <c r="A357" s="18">
        <v>340</v>
      </c>
      <c r="B357" s="10">
        <v>22.708100667776243</v>
      </c>
    </row>
    <row r="358" spans="1:2">
      <c r="A358" s="8">
        <v>341</v>
      </c>
      <c r="B358" s="10">
        <v>23.137735864459732</v>
      </c>
    </row>
    <row r="359" spans="1:2">
      <c r="A359" s="18">
        <v>342</v>
      </c>
      <c r="B359" s="10">
        <v>38.365192419561666</v>
      </c>
    </row>
    <row r="360" spans="1:2">
      <c r="A360" s="8">
        <v>343</v>
      </c>
      <c r="B360" s="10">
        <v>11.625926574746849</v>
      </c>
    </row>
    <row r="361" spans="1:2">
      <c r="A361" s="18">
        <v>344</v>
      </c>
      <c r="B361" s="10">
        <v>20.143856763031096</v>
      </c>
    </row>
    <row r="362" spans="1:2">
      <c r="A362" s="8">
        <v>345</v>
      </c>
      <c r="B362" s="10">
        <v>14.496077392054918</v>
      </c>
    </row>
    <row r="363" spans="1:2">
      <c r="A363" s="18">
        <v>346</v>
      </c>
      <c r="B363" s="10">
        <v>31.13280590295993</v>
      </c>
    </row>
    <row r="364" spans="1:2">
      <c r="A364" s="8">
        <v>347</v>
      </c>
      <c r="B364" s="10">
        <v>25.306622425016364</v>
      </c>
    </row>
    <row r="365" spans="1:2">
      <c r="A365" s="18">
        <v>348</v>
      </c>
      <c r="B365" s="10">
        <v>27.764911369994536</v>
      </c>
    </row>
    <row r="366" spans="1:2">
      <c r="A366" s="8">
        <v>349</v>
      </c>
      <c r="B366" s="10">
        <v>30.60629085902978</v>
      </c>
    </row>
    <row r="367" spans="1:2">
      <c r="A367" s="18">
        <v>350</v>
      </c>
      <c r="B367" s="10">
        <v>36.525269151900119</v>
      </c>
    </row>
    <row r="368" spans="1:2">
      <c r="A368" s="8">
        <v>351</v>
      </c>
      <c r="B368" s="10">
        <v>24.081734813466635</v>
      </c>
    </row>
    <row r="369" spans="1:2">
      <c r="A369" s="18">
        <v>352</v>
      </c>
      <c r="B369" s="10">
        <v>34.0811495834038</v>
      </c>
    </row>
    <row r="370" spans="1:2">
      <c r="A370" s="8">
        <v>353</v>
      </c>
      <c r="B370" s="10">
        <v>51.193465024539996</v>
      </c>
    </row>
    <row r="371" spans="1:2">
      <c r="A371" s="18">
        <v>354</v>
      </c>
      <c r="B371" s="10">
        <v>24.971857396414492</v>
      </c>
    </row>
    <row r="372" spans="1:2">
      <c r="A372" s="8">
        <v>355</v>
      </c>
      <c r="B372" s="10">
        <v>20.918748614803775</v>
      </c>
    </row>
    <row r="373" spans="1:2">
      <c r="A373" s="18">
        <v>356</v>
      </c>
      <c r="B373" s="10">
        <v>26.283458300727233</v>
      </c>
    </row>
    <row r="374" spans="1:2">
      <c r="A374" s="8">
        <v>357</v>
      </c>
      <c r="B374" s="10">
        <v>28.226595546008451</v>
      </c>
    </row>
    <row r="375" spans="1:2">
      <c r="A375" s="18">
        <v>358</v>
      </c>
      <c r="B375" s="10">
        <v>22.395701448781729</v>
      </c>
    </row>
    <row r="376" spans="1:2">
      <c r="A376" s="8">
        <v>359</v>
      </c>
      <c r="B376" s="10">
        <v>17.246666777588473</v>
      </c>
    </row>
    <row r="377" spans="1:2">
      <c r="A377" s="18">
        <v>360</v>
      </c>
      <c r="B377" s="10">
        <v>34.850380025508173</v>
      </c>
    </row>
    <row r="378" spans="1:2">
      <c r="A378" s="8">
        <v>361</v>
      </c>
      <c r="B378" s="10">
        <v>17.009048542230339</v>
      </c>
    </row>
    <row r="379" spans="1:2">
      <c r="A379" s="18">
        <v>362</v>
      </c>
      <c r="B379" s="10">
        <v>15.789157633056087</v>
      </c>
    </row>
    <row r="380" spans="1:2">
      <c r="A380" s="8">
        <v>363</v>
      </c>
      <c r="B380" s="10">
        <v>23.692113060747221</v>
      </c>
    </row>
    <row r="381" spans="1:2">
      <c r="A381" s="18">
        <v>364</v>
      </c>
      <c r="B381" s="10">
        <v>31.090009109345477</v>
      </c>
    </row>
    <row r="382" spans="1:2">
      <c r="A382" s="8">
        <v>365</v>
      </c>
      <c r="B382" s="10">
        <v>17.905195365321518</v>
      </c>
    </row>
    <row r="383" spans="1:2">
      <c r="A383" s="18">
        <v>366</v>
      </c>
      <c r="B383" s="10">
        <v>23.976857059828859</v>
      </c>
    </row>
    <row r="384" spans="1:2">
      <c r="A384" s="8">
        <v>367</v>
      </c>
      <c r="B384" s="10">
        <v>27.404048528871286</v>
      </c>
    </row>
    <row r="385" spans="1:2">
      <c r="A385" s="18">
        <v>368</v>
      </c>
      <c r="B385" s="10">
        <v>29.384993700578388</v>
      </c>
    </row>
    <row r="386" spans="1:2">
      <c r="A386" s="8">
        <v>369</v>
      </c>
      <c r="B386" s="10">
        <v>26.686741072276682</v>
      </c>
    </row>
    <row r="387" spans="1:2">
      <c r="A387" s="18">
        <v>370</v>
      </c>
      <c r="B387" s="10">
        <v>29.390329097417823</v>
      </c>
    </row>
    <row r="388" spans="1:2">
      <c r="A388" s="8">
        <v>371</v>
      </c>
      <c r="B388" s="10">
        <v>31.899776236644129</v>
      </c>
    </row>
    <row r="389" spans="1:2">
      <c r="A389" s="18">
        <v>372</v>
      </c>
      <c r="B389" s="10">
        <v>41.562340546403696</v>
      </c>
    </row>
    <row r="390" spans="1:2">
      <c r="A390" s="8">
        <v>373</v>
      </c>
      <c r="B390" s="10">
        <v>32.842457120755476</v>
      </c>
    </row>
    <row r="391" spans="1:2">
      <c r="A391" s="18">
        <v>374</v>
      </c>
      <c r="B391" s="10">
        <v>13.059123941885055</v>
      </c>
    </row>
    <row r="392" spans="1:2">
      <c r="A392" s="8">
        <v>375</v>
      </c>
      <c r="B392" s="10">
        <v>17.496929739714865</v>
      </c>
    </row>
    <row r="393" spans="1:2">
      <c r="A393" s="18">
        <v>376</v>
      </c>
      <c r="B393" s="10">
        <v>37.671869026849663</v>
      </c>
    </row>
    <row r="394" spans="1:2">
      <c r="A394" s="8">
        <v>377</v>
      </c>
      <c r="B394" s="10">
        <v>18.823700950503458</v>
      </c>
    </row>
    <row r="395" spans="1:2">
      <c r="A395" s="18">
        <v>378</v>
      </c>
      <c r="B395" s="10">
        <v>23.043969325881115</v>
      </c>
    </row>
    <row r="396" spans="1:2">
      <c r="A396" s="8">
        <v>379</v>
      </c>
      <c r="B396" s="10">
        <v>36.596255605854388</v>
      </c>
    </row>
    <row r="397" spans="1:2">
      <c r="A397" s="18">
        <v>380</v>
      </c>
      <c r="B397" s="10">
        <v>28.790340352756729</v>
      </c>
    </row>
    <row r="398" spans="1:2">
      <c r="A398" s="8">
        <v>381</v>
      </c>
      <c r="B398" s="10">
        <v>41.898161674618095</v>
      </c>
    </row>
    <row r="399" spans="1:2">
      <c r="A399" s="18">
        <v>382</v>
      </c>
      <c r="B399" s="10">
        <v>32.553622289770921</v>
      </c>
    </row>
    <row r="400" spans="1:2">
      <c r="A400" s="8">
        <v>383</v>
      </c>
      <c r="B400" s="10">
        <v>29.437678256316449</v>
      </c>
    </row>
    <row r="401" spans="1:2">
      <c r="A401" s="18">
        <v>384</v>
      </c>
      <c r="B401" s="10">
        <v>46.639418608101565</v>
      </c>
    </row>
    <row r="402" spans="1:2">
      <c r="A402" s="8">
        <v>385</v>
      </c>
      <c r="B402" s="10">
        <v>23.895338021598604</v>
      </c>
    </row>
    <row r="403" spans="1:2">
      <c r="A403" s="18">
        <v>386</v>
      </c>
      <c r="B403" s="10">
        <v>17.513007772156435</v>
      </c>
    </row>
    <row r="404" spans="1:2">
      <c r="A404" s="8">
        <v>387</v>
      </c>
      <c r="B404" s="10">
        <v>21.122011822991134</v>
      </c>
    </row>
    <row r="405" spans="1:2">
      <c r="A405" s="18">
        <v>388</v>
      </c>
      <c r="B405" s="10">
        <v>16.225152421383349</v>
      </c>
    </row>
    <row r="406" spans="1:2">
      <c r="A406" s="8">
        <v>389</v>
      </c>
      <c r="B406" s="10">
        <v>33.082346700757526</v>
      </c>
    </row>
    <row r="407" spans="1:2">
      <c r="A407" s="18">
        <v>390</v>
      </c>
      <c r="B407" s="10">
        <v>31.7782645364695</v>
      </c>
    </row>
    <row r="408" spans="1:2">
      <c r="A408" s="8">
        <v>391</v>
      </c>
      <c r="B408" s="10">
        <v>32.362287532925599</v>
      </c>
    </row>
    <row r="409" spans="1:2">
      <c r="A409" s="18">
        <v>392</v>
      </c>
      <c r="B409" s="10">
        <v>19.453300576855487</v>
      </c>
    </row>
    <row r="410" spans="1:2">
      <c r="A410" s="8">
        <v>393</v>
      </c>
      <c r="B410" s="10">
        <v>16.883116363012469</v>
      </c>
    </row>
    <row r="411" spans="1:2">
      <c r="A411" s="18">
        <v>394</v>
      </c>
      <c r="B411" s="10">
        <v>23.313637002229658</v>
      </c>
    </row>
    <row r="412" spans="1:2">
      <c r="A412" s="8">
        <v>395</v>
      </c>
      <c r="B412" s="10">
        <v>23.487604633646086</v>
      </c>
    </row>
    <row r="413" spans="1:2">
      <c r="A413" s="18">
        <v>396</v>
      </c>
      <c r="B413" s="10">
        <v>31.067690840181893</v>
      </c>
    </row>
    <row r="414" spans="1:2">
      <c r="A414" s="8">
        <v>397</v>
      </c>
      <c r="B414" s="10">
        <v>39.073685934744212</v>
      </c>
    </row>
    <row r="415" spans="1:2">
      <c r="A415" s="18">
        <v>398</v>
      </c>
      <c r="B415" s="10">
        <v>36.448547538515513</v>
      </c>
    </row>
    <row r="416" spans="1:2">
      <c r="A416" s="8">
        <v>399</v>
      </c>
      <c r="B416" s="10">
        <v>31.973648878431625</v>
      </c>
    </row>
    <row r="417" spans="1:2">
      <c r="A417" s="60">
        <v>400</v>
      </c>
      <c r="B417" s="13">
        <v>39.945260179731662</v>
      </c>
    </row>
    <row r="419" spans="1:2">
      <c r="A419" t="s">
        <v>59</v>
      </c>
      <c r="B419" s="16">
        <f ca="1">AVERAGE(B18:B417)</f>
        <v>27.07311295023927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duration</vt:lpstr>
      <vt:lpstr>boat decision</vt:lpstr>
      <vt:lpstr>simulation for repair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Chang</dc:creator>
  <cp:lastModifiedBy>Jonathan Chang</cp:lastModifiedBy>
  <dcterms:created xsi:type="dcterms:W3CDTF">2020-03-08T20:37:31Z</dcterms:created>
  <dcterms:modified xsi:type="dcterms:W3CDTF">2020-03-10T21:08:15Z</dcterms:modified>
</cp:coreProperties>
</file>