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3.xml" ContentType="application/vnd.openxmlformats-officedocument.themeOverrid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4.xml" ContentType="application/vnd.openxmlformats-officedocument.themeOverrid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5.xml" ContentType="application/vnd.openxmlformats-officedocument.themeOverrid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6.xml" ContentType="application/vnd.openxmlformats-officedocument.themeOverride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7.xml" ContentType="application/vnd.openxmlformats-officedocument.themeOverride+xml"/>
  <Override PartName="/xl/charts/chart2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8.xml" ContentType="application/vnd.openxmlformats-officedocument.themeOverride+xml"/>
  <Override PartName="/xl/drawings/drawing8.xml" ContentType="application/vnd.openxmlformats-officedocument.drawing+xml"/>
  <Override PartName="/xl/charts/chart2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9.xml" ContentType="application/vnd.openxmlformats-officedocument.drawing+xml"/>
  <Override PartName="/xl/charts/chart2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19.xml" ContentType="application/vnd.openxmlformats-officedocument.themeOverride+xml"/>
  <Override PartName="/xl/drawings/drawing10.xml" ContentType="application/vnd.openxmlformats-officedocument.drawingml.chartshapes+xml"/>
  <Override PartName="/xl/charts/chart2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0.xml" ContentType="application/vnd.openxmlformats-officedocument.themeOverride+xml"/>
  <Override PartName="/xl/drawings/drawing11.xml" ContentType="application/vnd.openxmlformats-officedocument.drawingml.chartshapes+xml"/>
  <Override PartName="/xl/charts/chart29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1.xml" ContentType="application/vnd.openxmlformats-officedocument.themeOverride+xml"/>
  <Override PartName="/xl/drawings/drawing12.xml" ContentType="application/vnd.openxmlformats-officedocument.drawingml.chartshapes+xml"/>
  <Override PartName="/xl/charts/chart30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2.xml" ContentType="application/vnd.openxmlformats-officedocument.themeOverride+xml"/>
  <Override PartName="/xl/drawings/drawing13.xml" ContentType="application/vnd.openxmlformats-officedocument.drawingml.chartshapes+xml"/>
  <Override PartName="/xl/charts/chart31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3.xml" ContentType="application/vnd.openxmlformats-officedocument.themeOverride+xml"/>
  <Override PartName="/xl/drawings/drawing14.xml" ContentType="application/vnd.openxmlformats-officedocument.drawingml.chartshapes+xml"/>
  <Override PartName="/xl/charts/chart3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4.xml" ContentType="application/vnd.openxmlformats-officedocument.themeOverride+xml"/>
  <Override PartName="/xl/drawings/drawing15.xml" ContentType="application/vnd.openxmlformats-officedocument.drawingml.chartshapes+xml"/>
  <Override PartName="/xl/charts/chart33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5.xml" ContentType="application/vnd.openxmlformats-officedocument.themeOverrid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34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6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7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4a6f56859bbe272/문서/2025/1. 논문/2. DNMC/4. Results/"/>
    </mc:Choice>
  </mc:AlternateContent>
  <xr:revisionPtr revIDLastSave="4392" documentId="8_{474B9357-2182-441C-BE0F-79F3A03C84E5}" xr6:coauthVersionLast="47" xr6:coauthVersionMax="47" xr10:uidLastSave="{9DDCDEEB-1EC6-4CDE-B65F-8851A73D6A64}"/>
  <bookViews>
    <workbookView xWindow="28680" yWindow="-120" windowWidth="29040" windowHeight="15720" firstSheet="1" activeTab="1" xr2:uid="{00000000-000D-0000-FFFF-FFFF00000000}"/>
  </bookViews>
  <sheets>
    <sheet name="1. DB_Experiment_VER1" sheetId="1" state="hidden" r:id="rId1"/>
    <sheet name="2. Aspen_stream info" sheetId="17" r:id="rId2"/>
    <sheet name="2-1. Aspen Utility" sheetId="29" r:id="rId3"/>
    <sheet name="5. HEN_equip" sheetId="25" state="hidden" r:id="rId4"/>
    <sheet name="3. UPC &amp; MSP (fixed)" sheetId="18" state="hidden" r:id="rId5"/>
    <sheet name="Previous_Technical performance" sheetId="3" state="hidden" r:id="rId6"/>
    <sheet name="2-2. Equipment cost" sheetId="30" r:id="rId7"/>
    <sheet name="3. CEF &amp; EEF" sheetId="11" r:id="rId8"/>
    <sheet name="4-1. UPC &amp; NCE(Grid)" sheetId="20" r:id="rId9"/>
    <sheet name="4-2. UPC &amp; NCE(RE)" sheetId="28" r:id="rId10"/>
    <sheet name="5. Sensitivity analysis" sheetId="27" r:id="rId11"/>
    <sheet name="5. Sensitivity" sheetId="26" state="hidden" r:id="rId12"/>
    <sheet name="5. HEN_Worksheet_Case4" sheetId="23" state="hidden" r:id="rId13"/>
    <sheet name="Previous_Economic Analysis" sheetId="9" state="hidden" r:id="rId14"/>
    <sheet name="Previous_Equipment cost" sheetId="4" state="hidden" r:id="rId15"/>
    <sheet name="DB_Aspen simulation_previous" sheetId="2" state="hidden" r:id="rId16"/>
    <sheet name="DB_APEA_EXECUTIVE SUMMARY" sheetId="5" state="hidden" r:id="rId17"/>
    <sheet name="DB_APEA_PROJSUM.ICS" sheetId="6" state="hidden" r:id="rId18"/>
    <sheet name="DB_APEA_CASHFLOW.ICS" sheetId="7" state="hidden" r:id="rId19"/>
  </sheets>
  <externalReferences>
    <externalReference r:id="rId20"/>
  </externalReferences>
  <definedNames>
    <definedName name="_xlnm.Print_Area" localSheetId="4">'3. UPC &amp; MSP (fixed)'!$B$20:$I$94</definedName>
    <definedName name="_xlnm.Print_Area" localSheetId="8">'4-1. UPC &amp; NCE(Grid)'!$B$20:$I$107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3" i="20" l="1"/>
  <c r="G41" i="20"/>
  <c r="H41" i="20"/>
  <c r="I41" i="20"/>
  <c r="J41" i="20"/>
  <c r="K41" i="20"/>
  <c r="L41" i="20"/>
  <c r="M41" i="20"/>
  <c r="F41" i="20"/>
  <c r="F87" i="20"/>
  <c r="F88" i="20"/>
  <c r="P4" i="29" l="1"/>
  <c r="J87" i="27"/>
  <c r="J86" i="27"/>
  <c r="J84" i="27"/>
  <c r="J83" i="27"/>
  <c r="D87" i="27"/>
  <c r="D86" i="27"/>
  <c r="D83" i="27"/>
  <c r="D84" i="27"/>
  <c r="R15" i="27"/>
  <c r="R14" i="27"/>
  <c r="L15" i="27"/>
  <c r="L14" i="27"/>
  <c r="R12" i="27"/>
  <c r="R11" i="27"/>
  <c r="L12" i="27"/>
  <c r="L11" i="27"/>
  <c r="F15" i="27"/>
  <c r="F14" i="27"/>
  <c r="F11" i="27"/>
  <c r="F12" i="27"/>
  <c r="Z57" i="30"/>
  <c r="L4" i="29"/>
  <c r="L10" i="29"/>
  <c r="M11" i="11"/>
  <c r="S148" i="28"/>
  <c r="T148" i="28"/>
  <c r="U148" i="28"/>
  <c r="R148" i="28"/>
  <c r="D10" i="28"/>
  <c r="X15" i="27"/>
  <c r="X14" i="27"/>
  <c r="X11" i="27"/>
  <c r="X12" i="27"/>
  <c r="D10" i="20"/>
  <c r="AD78" i="28"/>
  <c r="G64" i="28" l="1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F64" i="28"/>
  <c r="F66" i="28"/>
  <c r="V87" i="27" l="1"/>
  <c r="V86" i="27"/>
  <c r="V84" i="27"/>
  <c r="V83" i="27"/>
  <c r="P87" i="27"/>
  <c r="P86" i="27"/>
  <c r="P83" i="27"/>
  <c r="P84" i="27"/>
  <c r="V77" i="27"/>
  <c r="U77" i="27"/>
  <c r="P77" i="27"/>
  <c r="O77" i="27"/>
  <c r="J77" i="27"/>
  <c r="I77" i="27"/>
  <c r="D77" i="27"/>
  <c r="C77" i="27"/>
  <c r="V76" i="27"/>
  <c r="U76" i="27"/>
  <c r="P76" i="27"/>
  <c r="O76" i="27"/>
  <c r="J76" i="27"/>
  <c r="I76" i="27"/>
  <c r="D76" i="27"/>
  <c r="C76" i="27"/>
  <c r="V75" i="27"/>
  <c r="U75" i="27"/>
  <c r="P75" i="27"/>
  <c r="O75" i="27"/>
  <c r="J75" i="27"/>
  <c r="I75" i="27"/>
  <c r="D75" i="27"/>
  <c r="C75" i="27"/>
  <c r="V74" i="27"/>
  <c r="U74" i="27"/>
  <c r="P74" i="27"/>
  <c r="O74" i="27"/>
  <c r="J74" i="27"/>
  <c r="I74" i="27"/>
  <c r="D74" i="27"/>
  <c r="C74" i="27"/>
  <c r="V73" i="27"/>
  <c r="U73" i="27"/>
  <c r="P73" i="27"/>
  <c r="O73" i="27"/>
  <c r="J73" i="27"/>
  <c r="I73" i="27"/>
  <c r="D73" i="27"/>
  <c r="C73" i="27"/>
  <c r="V72" i="27"/>
  <c r="U72" i="27"/>
  <c r="P72" i="27"/>
  <c r="O72" i="27"/>
  <c r="J72" i="27"/>
  <c r="I72" i="27"/>
  <c r="D72" i="27"/>
  <c r="C72" i="27"/>
  <c r="V71" i="27"/>
  <c r="U71" i="27"/>
  <c r="P71" i="27"/>
  <c r="O71" i="27"/>
  <c r="J71" i="27"/>
  <c r="I71" i="27"/>
  <c r="D71" i="27"/>
  <c r="C71" i="27"/>
  <c r="V70" i="27"/>
  <c r="U70" i="27"/>
  <c r="P70" i="27"/>
  <c r="O70" i="27"/>
  <c r="J70" i="27"/>
  <c r="I70" i="27"/>
  <c r="D70" i="27"/>
  <c r="C70" i="27"/>
  <c r="U41" i="17"/>
  <c r="T41" i="17"/>
  <c r="AF34" i="20"/>
  <c r="F52" i="20" s="1"/>
  <c r="E64" i="11"/>
  <c r="E203" i="11" l="1"/>
  <c r="E202" i="11"/>
  <c r="F138" i="28" l="1"/>
  <c r="F138" i="20" l="1"/>
  <c r="F129" i="20"/>
  <c r="J139" i="28"/>
  <c r="D2" i="30" l="1"/>
  <c r="I62" i="11" l="1"/>
  <c r="F23" i="20"/>
  <c r="J31" i="11"/>
  <c r="K31" i="11"/>
  <c r="L31" i="11"/>
  <c r="I31" i="11"/>
  <c r="AA32" i="20" l="1"/>
  <c r="J24" i="27" l="1"/>
  <c r="AB64" i="11"/>
  <c r="AB65" i="11"/>
  <c r="AB66" i="11"/>
  <c r="AB67" i="11"/>
  <c r="AA65" i="11"/>
  <c r="AA66" i="11"/>
  <c r="AA67" i="11"/>
  <c r="AA64" i="11"/>
  <c r="U130" i="28"/>
  <c r="T130" i="28"/>
  <c r="S130" i="28"/>
  <c r="R130" i="28"/>
  <c r="T130" i="20"/>
  <c r="S130" i="20"/>
  <c r="R130" i="20"/>
  <c r="U130" i="20"/>
  <c r="X70" i="29"/>
  <c r="BJ121" i="30"/>
  <c r="AD120" i="30"/>
  <c r="Z120" i="30"/>
  <c r="Q130" i="28"/>
  <c r="P130" i="28"/>
  <c r="O130" i="28"/>
  <c r="N130" i="28"/>
  <c r="Q130" i="20"/>
  <c r="P130" i="20"/>
  <c r="O130" i="20"/>
  <c r="N130" i="20"/>
  <c r="AP62" i="28"/>
  <c r="AO62" i="28"/>
  <c r="AN62" i="28"/>
  <c r="AM62" i="28"/>
  <c r="AP49" i="28"/>
  <c r="AO49" i="28"/>
  <c r="AN49" i="28"/>
  <c r="AM49" i="28"/>
  <c r="AM30" i="20"/>
  <c r="AM43" i="20"/>
  <c r="M130" i="28"/>
  <c r="M130" i="20"/>
  <c r="L130" i="28"/>
  <c r="K130" i="28"/>
  <c r="J130" i="28"/>
  <c r="I130" i="28"/>
  <c r="H130" i="28"/>
  <c r="G130" i="28"/>
  <c r="F130" i="28"/>
  <c r="I130" i="20"/>
  <c r="H130" i="20"/>
  <c r="G130" i="20"/>
  <c r="F130" i="20"/>
  <c r="AL30" i="20"/>
  <c r="AL43" i="20"/>
  <c r="L130" i="20"/>
  <c r="AK30" i="20"/>
  <c r="AK43" i="20"/>
  <c r="K130" i="20"/>
  <c r="I129" i="28"/>
  <c r="G129" i="20"/>
  <c r="H129" i="20"/>
  <c r="I129" i="20"/>
  <c r="J129" i="20"/>
  <c r="K129" i="20"/>
  <c r="L129" i="20"/>
  <c r="M129" i="20"/>
  <c r="N129" i="20"/>
  <c r="O129" i="20"/>
  <c r="P129" i="20"/>
  <c r="Q129" i="20"/>
  <c r="R129" i="20"/>
  <c r="S129" i="20"/>
  <c r="T129" i="20"/>
  <c r="U129" i="20"/>
  <c r="F129" i="28"/>
  <c r="J130" i="20"/>
  <c r="AJ30" i="20"/>
  <c r="AJ43" i="20"/>
  <c r="G129" i="28" l="1"/>
  <c r="S129" i="28"/>
  <c r="R129" i="28"/>
  <c r="Q129" i="28"/>
  <c r="J129" i="28"/>
  <c r="U129" i="28"/>
  <c r="T129" i="28"/>
  <c r="H129" i="28"/>
  <c r="P129" i="28"/>
  <c r="O129" i="28"/>
  <c r="N129" i="28"/>
  <c r="M129" i="28"/>
  <c r="L129" i="28"/>
  <c r="K129" i="28"/>
  <c r="O4" i="29"/>
  <c r="N4" i="29"/>
  <c r="M4" i="29"/>
  <c r="BE68" i="30"/>
  <c r="AZ68" i="30"/>
  <c r="AT68" i="30"/>
  <c r="AP68" i="30"/>
  <c r="G68" i="30"/>
  <c r="AX49" i="28" l="1"/>
  <c r="AW49" i="28"/>
  <c r="AV49" i="28"/>
  <c r="AU49" i="28"/>
  <c r="AX62" i="28"/>
  <c r="AW62" i="28"/>
  <c r="AV62" i="28"/>
  <c r="AU62" i="28"/>
  <c r="AT62" i="28"/>
  <c r="AS62" i="28"/>
  <c r="AR62" i="28"/>
  <c r="O61" i="28" s="1"/>
  <c r="AQ62" i="28"/>
  <c r="AL62" i="28"/>
  <c r="AK62" i="28"/>
  <c r="AJ62" i="28"/>
  <c r="AI62" i="28"/>
  <c r="AU30" i="20"/>
  <c r="AU43" i="20"/>
  <c r="AT43" i="20"/>
  <c r="AT30" i="20"/>
  <c r="AS30" i="20"/>
  <c r="AS43" i="20"/>
  <c r="AR43" i="20"/>
  <c r="AR30" i="20"/>
  <c r="O62" i="28"/>
  <c r="O66" i="28"/>
  <c r="O52" i="28"/>
  <c r="O43" i="28"/>
  <c r="O44" i="28"/>
  <c r="O45" i="28"/>
  <c r="O46" i="28"/>
  <c r="O47" i="28"/>
  <c r="AG61" i="20"/>
  <c r="G100" i="20" s="1"/>
  <c r="AH61" i="20"/>
  <c r="H100" i="20" s="1"/>
  <c r="AI61" i="20"/>
  <c r="I100" i="20" s="1"/>
  <c r="AJ61" i="20"/>
  <c r="AK61" i="20"/>
  <c r="AL61" i="20"/>
  <c r="AM61" i="20"/>
  <c r="AN61" i="20"/>
  <c r="N100" i="20" s="1"/>
  <c r="AO61" i="20"/>
  <c r="O100" i="20" s="1"/>
  <c r="AP61" i="20"/>
  <c r="P100" i="20" s="1"/>
  <c r="AQ61" i="20"/>
  <c r="Q100" i="20" s="1"/>
  <c r="AR61" i="20"/>
  <c r="R100" i="20" s="1"/>
  <c r="AS61" i="20"/>
  <c r="S100" i="20" s="1"/>
  <c r="AT61" i="20"/>
  <c r="T100" i="20" s="1"/>
  <c r="AU61" i="20"/>
  <c r="U100" i="20" s="1"/>
  <c r="AF61" i="20"/>
  <c r="F100" i="20" s="1"/>
  <c r="AG43" i="20"/>
  <c r="AH43" i="20"/>
  <c r="AI43" i="20"/>
  <c r="AN43" i="20"/>
  <c r="AO43" i="20"/>
  <c r="AP43" i="20"/>
  <c r="AQ43" i="20"/>
  <c r="AF43" i="20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G138" i="20"/>
  <c r="H138" i="20"/>
  <c r="I138" i="20"/>
  <c r="J138" i="20"/>
  <c r="K138" i="20"/>
  <c r="L138" i="20"/>
  <c r="M138" i="20"/>
  <c r="N138" i="20"/>
  <c r="O138" i="20"/>
  <c r="P138" i="20"/>
  <c r="Q138" i="20"/>
  <c r="R138" i="20"/>
  <c r="S138" i="20"/>
  <c r="T138" i="20"/>
  <c r="U138" i="20"/>
  <c r="J100" i="20" l="1"/>
  <c r="M100" i="20"/>
  <c r="L100" i="20"/>
  <c r="K100" i="20"/>
  <c r="G132" i="28"/>
  <c r="H132" i="28"/>
  <c r="I132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G52" i="28"/>
  <c r="H52" i="28"/>
  <c r="I52" i="28"/>
  <c r="J52" i="28"/>
  <c r="K52" i="28"/>
  <c r="L52" i="28"/>
  <c r="M52" i="28"/>
  <c r="N52" i="28"/>
  <c r="P52" i="28"/>
  <c r="Q52" i="28"/>
  <c r="R52" i="28"/>
  <c r="S52" i="28"/>
  <c r="T52" i="28"/>
  <c r="U52" i="28"/>
  <c r="T103" i="28"/>
  <c r="U103" i="28"/>
  <c r="T43" i="28"/>
  <c r="U43" i="28"/>
  <c r="T44" i="28"/>
  <c r="U44" i="28"/>
  <c r="T45" i="28"/>
  <c r="U45" i="28"/>
  <c r="T46" i="28"/>
  <c r="U46" i="28"/>
  <c r="T47" i="28"/>
  <c r="U47" i="28"/>
  <c r="T48" i="28"/>
  <c r="U48" i="28"/>
  <c r="T62" i="28"/>
  <c r="U62" i="28"/>
  <c r="AJ74" i="28"/>
  <c r="AK74" i="28"/>
  <c r="AL74" i="28"/>
  <c r="AM74" i="28"/>
  <c r="AN74" i="28"/>
  <c r="AO74" i="28"/>
  <c r="AP74" i="28"/>
  <c r="AQ74" i="28"/>
  <c r="AR74" i="28"/>
  <c r="O73" i="28" s="1"/>
  <c r="AS74" i="28"/>
  <c r="AT74" i="28"/>
  <c r="AU74" i="28"/>
  <c r="AV74" i="28"/>
  <c r="AW74" i="28"/>
  <c r="T73" i="28" s="1"/>
  <c r="AX74" i="28"/>
  <c r="U73" i="28" s="1"/>
  <c r="AJ80" i="28"/>
  <c r="G100" i="28" s="1"/>
  <c r="AK80" i="28"/>
  <c r="H100" i="28" s="1"/>
  <c r="AL80" i="28"/>
  <c r="I100" i="28" s="1"/>
  <c r="AM80" i="28"/>
  <c r="J100" i="28" s="1"/>
  <c r="AN80" i="28"/>
  <c r="K100" i="28" s="1"/>
  <c r="AO80" i="28"/>
  <c r="L100" i="28" s="1"/>
  <c r="AP80" i="28"/>
  <c r="M100" i="28" s="1"/>
  <c r="AQ80" i="28"/>
  <c r="N100" i="28" s="1"/>
  <c r="AR80" i="28"/>
  <c r="AS80" i="28"/>
  <c r="P100" i="28" s="1"/>
  <c r="AT80" i="28"/>
  <c r="Q100" i="28" s="1"/>
  <c r="AU80" i="28"/>
  <c r="AV80" i="28"/>
  <c r="AW80" i="28"/>
  <c r="AX80" i="28"/>
  <c r="AI74" i="28"/>
  <c r="AI80" i="28"/>
  <c r="F100" i="28" s="1"/>
  <c r="AJ60" i="28"/>
  <c r="AK60" i="28"/>
  <c r="AL60" i="28"/>
  <c r="AM60" i="28"/>
  <c r="AN60" i="28"/>
  <c r="AO60" i="28"/>
  <c r="AP60" i="28"/>
  <c r="AQ60" i="28"/>
  <c r="AR60" i="28"/>
  <c r="O59" i="28" s="1"/>
  <c r="AS60" i="28"/>
  <c r="AT60" i="28"/>
  <c r="AU60" i="28"/>
  <c r="AV60" i="28"/>
  <c r="AW60" i="28"/>
  <c r="T59" i="28" s="1"/>
  <c r="AX60" i="28"/>
  <c r="U59" i="28" s="1"/>
  <c r="T61" i="28"/>
  <c r="U61" i="28"/>
  <c r="AI60" i="28"/>
  <c r="AX43" i="28"/>
  <c r="U42" i="28" s="1"/>
  <c r="AW43" i="28"/>
  <c r="T42" i="28" s="1"/>
  <c r="AV43" i="28"/>
  <c r="AU43" i="28"/>
  <c r="AT43" i="28"/>
  <c r="AS43" i="28"/>
  <c r="AR43" i="28"/>
  <c r="O42" i="28" s="1"/>
  <c r="O41" i="28" s="1"/>
  <c r="AQ43" i="28"/>
  <c r="AP43" i="28"/>
  <c r="AO43" i="28"/>
  <c r="AN43" i="28"/>
  <c r="AM43" i="28"/>
  <c r="AL43" i="28"/>
  <c r="AK43" i="28"/>
  <c r="AJ43" i="28"/>
  <c r="AI43" i="28"/>
  <c r="AG36" i="20"/>
  <c r="AJ55" i="28" s="1"/>
  <c r="AH36" i="20"/>
  <c r="AK55" i="28" s="1"/>
  <c r="AI36" i="20"/>
  <c r="AL55" i="28" s="1"/>
  <c r="AJ36" i="20"/>
  <c r="AM55" i="28" s="1"/>
  <c r="AK36" i="20"/>
  <c r="AN55" i="28" s="1"/>
  <c r="AL36" i="20"/>
  <c r="AO55" i="28" s="1"/>
  <c r="AM36" i="20"/>
  <c r="AP55" i="28" s="1"/>
  <c r="AN36" i="20"/>
  <c r="AQ55" i="28" s="1"/>
  <c r="AO36" i="20"/>
  <c r="AR55" i="28" s="1"/>
  <c r="O54" i="28" s="1"/>
  <c r="AP36" i="20"/>
  <c r="AS55" i="28" s="1"/>
  <c r="AQ36" i="20"/>
  <c r="AT55" i="28" s="1"/>
  <c r="AR36" i="20"/>
  <c r="AU55" i="28" s="1"/>
  <c r="AS36" i="20"/>
  <c r="AV55" i="28" s="1"/>
  <c r="AT36" i="20"/>
  <c r="AW55" i="28" s="1"/>
  <c r="T54" i="28" s="1"/>
  <c r="AU36" i="20"/>
  <c r="AX55" i="28" s="1"/>
  <c r="U54" i="28" s="1"/>
  <c r="AF36" i="20"/>
  <c r="AI55" i="28" s="1"/>
  <c r="AG35" i="20"/>
  <c r="AH35" i="20"/>
  <c r="AI35" i="20"/>
  <c r="AJ35" i="20"/>
  <c r="AK35" i="20"/>
  <c r="AL35" i="20"/>
  <c r="AM35" i="20"/>
  <c r="AN35" i="20"/>
  <c r="AO35" i="20"/>
  <c r="AP35" i="20"/>
  <c r="P53" i="20" s="1"/>
  <c r="AQ35" i="20"/>
  <c r="AR35" i="20"/>
  <c r="AS35" i="20"/>
  <c r="AT35" i="20"/>
  <c r="T133" i="20" s="1"/>
  <c r="AU35" i="20"/>
  <c r="U53" i="20" s="1"/>
  <c r="AF35" i="20"/>
  <c r="O54" i="20"/>
  <c r="P54" i="20"/>
  <c r="O61" i="20"/>
  <c r="P61" i="20"/>
  <c r="T61" i="20"/>
  <c r="AG42" i="20"/>
  <c r="AJ61" i="28" s="1"/>
  <c r="AH42" i="20"/>
  <c r="AK61" i="28" s="1"/>
  <c r="AI42" i="20"/>
  <c r="AL61" i="28" s="1"/>
  <c r="AJ42" i="20"/>
  <c r="AM61" i="28" s="1"/>
  <c r="AK42" i="20"/>
  <c r="AN61" i="28" s="1"/>
  <c r="AL42" i="20"/>
  <c r="AO61" i="28" s="1"/>
  <c r="AM42" i="20"/>
  <c r="AP61" i="28" s="1"/>
  <c r="AN42" i="20"/>
  <c r="AQ61" i="28" s="1"/>
  <c r="AO42" i="20"/>
  <c r="O60" i="20" s="1"/>
  <c r="AP42" i="20"/>
  <c r="P60" i="20" s="1"/>
  <c r="AQ42" i="20"/>
  <c r="AT61" i="28" s="1"/>
  <c r="AR42" i="20"/>
  <c r="AU61" i="28" s="1"/>
  <c r="AS42" i="20"/>
  <c r="AV61" i="28" s="1"/>
  <c r="AT42" i="20"/>
  <c r="AW61" i="28" s="1"/>
  <c r="T60" i="28" s="1"/>
  <c r="AU42" i="20"/>
  <c r="AX61" i="28" s="1"/>
  <c r="U60" i="28" s="1"/>
  <c r="AF42" i="20"/>
  <c r="AI61" i="28" s="1"/>
  <c r="O103" i="20"/>
  <c r="O73" i="20"/>
  <c r="O62" i="20"/>
  <c r="P62" i="20"/>
  <c r="O66" i="20"/>
  <c r="P66" i="20"/>
  <c r="O43" i="20"/>
  <c r="O44" i="20"/>
  <c r="O45" i="20"/>
  <c r="O46" i="20"/>
  <c r="O47" i="20"/>
  <c r="T95" i="20"/>
  <c r="U95" i="20"/>
  <c r="T103" i="20"/>
  <c r="U103" i="20"/>
  <c r="AG62" i="20"/>
  <c r="AJ81" i="28" s="1"/>
  <c r="AH62" i="20"/>
  <c r="AK81" i="28" s="1"/>
  <c r="AI62" i="20"/>
  <c r="AL81" i="28" s="1"/>
  <c r="AJ62" i="20"/>
  <c r="AM81" i="28" s="1"/>
  <c r="AK62" i="20"/>
  <c r="AN81" i="28" s="1"/>
  <c r="AL62" i="20"/>
  <c r="AO81" i="28" s="1"/>
  <c r="AM62" i="20"/>
  <c r="AP81" i="28" s="1"/>
  <c r="AN62" i="20"/>
  <c r="AQ81" i="28" s="1"/>
  <c r="AO62" i="20"/>
  <c r="AR81" i="28" s="1"/>
  <c r="AP62" i="20"/>
  <c r="AS81" i="28" s="1"/>
  <c r="AQ62" i="20"/>
  <c r="AT81" i="28" s="1"/>
  <c r="AR62" i="20"/>
  <c r="AU81" i="28" s="1"/>
  <c r="AS62" i="20"/>
  <c r="AV81" i="28" s="1"/>
  <c r="AT62" i="20"/>
  <c r="AW81" i="28" s="1"/>
  <c r="AU62" i="20"/>
  <c r="AX81" i="28" s="1"/>
  <c r="AG63" i="20"/>
  <c r="AJ82" i="28" s="1"/>
  <c r="AH63" i="20"/>
  <c r="AK82" i="28" s="1"/>
  <c r="AI63" i="20"/>
  <c r="AL82" i="28" s="1"/>
  <c r="AJ63" i="20"/>
  <c r="AM82" i="28" s="1"/>
  <c r="AK63" i="20"/>
  <c r="AN82" i="28" s="1"/>
  <c r="AL63" i="20"/>
  <c r="AO82" i="28" s="1"/>
  <c r="AM63" i="20"/>
  <c r="AP82" i="28" s="1"/>
  <c r="AN63" i="20"/>
  <c r="AQ82" i="28" s="1"/>
  <c r="AO63" i="20"/>
  <c r="O81" i="20" s="1"/>
  <c r="AP63" i="20"/>
  <c r="AS82" i="28" s="1"/>
  <c r="AQ63" i="20"/>
  <c r="AT82" i="28" s="1"/>
  <c r="AR63" i="20"/>
  <c r="AU82" i="28" s="1"/>
  <c r="AS63" i="20"/>
  <c r="AV82" i="28" s="1"/>
  <c r="AT63" i="20"/>
  <c r="AW82" i="28" s="1"/>
  <c r="T81" i="28" s="1"/>
  <c r="AU63" i="20"/>
  <c r="AX82" i="28" s="1"/>
  <c r="U81" i="28" s="1"/>
  <c r="O79" i="20"/>
  <c r="T79" i="20"/>
  <c r="U79" i="20"/>
  <c r="AG60" i="20"/>
  <c r="AJ79" i="28" s="1"/>
  <c r="AH60" i="20"/>
  <c r="AK79" i="28" s="1"/>
  <c r="AI60" i="20"/>
  <c r="AL79" i="28" s="1"/>
  <c r="AJ60" i="20"/>
  <c r="AM79" i="28" s="1"/>
  <c r="AP60" i="20"/>
  <c r="AS79" i="28" s="1"/>
  <c r="AQ60" i="20"/>
  <c r="AT79" i="28" s="1"/>
  <c r="AR60" i="20"/>
  <c r="AU79" i="28" s="1"/>
  <c r="AS60" i="20"/>
  <c r="AV79" i="28" s="1"/>
  <c r="AT60" i="20"/>
  <c r="AW79" i="28" s="1"/>
  <c r="AU60" i="20"/>
  <c r="AX79" i="28" s="1"/>
  <c r="AG58" i="20"/>
  <c r="AJ77" i="28" s="1"/>
  <c r="AH58" i="20"/>
  <c r="AK77" i="28" s="1"/>
  <c r="AI58" i="20"/>
  <c r="AL77" i="28" s="1"/>
  <c r="AJ58" i="20"/>
  <c r="J142" i="20" s="1"/>
  <c r="AK58" i="20"/>
  <c r="AN77" i="28" s="1"/>
  <c r="AL58" i="20"/>
  <c r="AO77" i="28" s="1"/>
  <c r="AM58" i="20"/>
  <c r="AP77" i="28" s="1"/>
  <c r="AN58" i="20"/>
  <c r="AQ77" i="28" s="1"/>
  <c r="AO58" i="20"/>
  <c r="O142" i="20" s="1"/>
  <c r="AP58" i="20"/>
  <c r="P142" i="20" s="1"/>
  <c r="AQ58" i="20"/>
  <c r="Q142" i="20" s="1"/>
  <c r="AR58" i="20"/>
  <c r="R142" i="20" s="1"/>
  <c r="AS58" i="20"/>
  <c r="S142" i="20" s="1"/>
  <c r="AT58" i="20"/>
  <c r="T142" i="20" s="1"/>
  <c r="AU58" i="20"/>
  <c r="U142" i="20" s="1"/>
  <c r="AG59" i="20"/>
  <c r="AJ78" i="28" s="1"/>
  <c r="AH59" i="20"/>
  <c r="AK78" i="28" s="1"/>
  <c r="AI59" i="20"/>
  <c r="AL78" i="28" s="1"/>
  <c r="AJ59" i="20"/>
  <c r="J143" i="20" s="1"/>
  <c r="AK59" i="20"/>
  <c r="AN78" i="28" s="1"/>
  <c r="AL59" i="20"/>
  <c r="AO78" i="28" s="1"/>
  <c r="AM59" i="20"/>
  <c r="AP78" i="28" s="1"/>
  <c r="AN59" i="20"/>
  <c r="AQ78" i="28" s="1"/>
  <c r="AO59" i="20"/>
  <c r="O143" i="20" s="1"/>
  <c r="AP59" i="20"/>
  <c r="P143" i="20" s="1"/>
  <c r="AQ59" i="20"/>
  <c r="Q143" i="20" s="1"/>
  <c r="AR59" i="20"/>
  <c r="R143" i="20" s="1"/>
  <c r="AS59" i="20"/>
  <c r="S143" i="20" s="1"/>
  <c r="AT59" i="20"/>
  <c r="T143" i="20" s="1"/>
  <c r="AU59" i="20"/>
  <c r="U143" i="20" s="1"/>
  <c r="AG64" i="20"/>
  <c r="AJ83" i="28" s="1"/>
  <c r="AH64" i="20"/>
  <c r="AK83" i="28" s="1"/>
  <c r="AI64" i="20"/>
  <c r="AL83" i="28" s="1"/>
  <c r="AJ64" i="20"/>
  <c r="AM83" i="28" s="1"/>
  <c r="AK64" i="20"/>
  <c r="AN83" i="28" s="1"/>
  <c r="AL64" i="20"/>
  <c r="AO83" i="28" s="1"/>
  <c r="AM64" i="20"/>
  <c r="AP83" i="28" s="1"/>
  <c r="AN64" i="20"/>
  <c r="AQ83" i="28" s="1"/>
  <c r="AO64" i="20"/>
  <c r="AR83" i="28" s="1"/>
  <c r="AP64" i="20"/>
  <c r="AS83" i="28" s="1"/>
  <c r="AQ64" i="20"/>
  <c r="AT83" i="28" s="1"/>
  <c r="AR64" i="20"/>
  <c r="AU83" i="28" s="1"/>
  <c r="AS64" i="20"/>
  <c r="AV83" i="28" s="1"/>
  <c r="AT64" i="20"/>
  <c r="AW83" i="28" s="1"/>
  <c r="AU64" i="20"/>
  <c r="AX83" i="28" s="1"/>
  <c r="AG57" i="20"/>
  <c r="AJ76" i="28" s="1"/>
  <c r="AH57" i="20"/>
  <c r="AK76" i="28" s="1"/>
  <c r="AI57" i="20"/>
  <c r="AL76" i="28" s="1"/>
  <c r="AJ57" i="20"/>
  <c r="J141" i="20" s="1"/>
  <c r="AK57" i="20"/>
  <c r="AN76" i="28" s="1"/>
  <c r="AL57" i="20"/>
  <c r="AO76" i="28" s="1"/>
  <c r="AM57" i="20"/>
  <c r="AP76" i="28" s="1"/>
  <c r="AN57" i="20"/>
  <c r="AQ76" i="28" s="1"/>
  <c r="AO57" i="20"/>
  <c r="O141" i="20" s="1"/>
  <c r="AP57" i="20"/>
  <c r="P141" i="20" s="1"/>
  <c r="AQ57" i="20"/>
  <c r="Q141" i="20" s="1"/>
  <c r="AR57" i="20"/>
  <c r="R141" i="20" s="1"/>
  <c r="AS57" i="20"/>
  <c r="S141" i="20" s="1"/>
  <c r="AT57" i="20"/>
  <c r="T141" i="20" s="1"/>
  <c r="AU57" i="20"/>
  <c r="AX76" i="28" s="1"/>
  <c r="AG56" i="20"/>
  <c r="AJ75" i="28" s="1"/>
  <c r="AH56" i="20"/>
  <c r="AK75" i="28" s="1"/>
  <c r="AI56" i="20"/>
  <c r="AL75" i="28" s="1"/>
  <c r="AJ56" i="20"/>
  <c r="J140" i="20" s="1"/>
  <c r="AK56" i="20"/>
  <c r="AN75" i="28" s="1"/>
  <c r="AL56" i="20"/>
  <c r="AO75" i="28" s="1"/>
  <c r="AM56" i="20"/>
  <c r="AP75" i="28" s="1"/>
  <c r="AN56" i="20"/>
  <c r="AQ75" i="28" s="1"/>
  <c r="AO56" i="20"/>
  <c r="O95" i="20" s="1"/>
  <c r="AP56" i="20"/>
  <c r="AS75" i="28" s="1"/>
  <c r="P95" i="28" s="1"/>
  <c r="AQ56" i="20"/>
  <c r="AT75" i="28" s="1"/>
  <c r="Q95" i="28" s="1"/>
  <c r="AR56" i="20"/>
  <c r="AU75" i="28" s="1"/>
  <c r="R95" i="28" s="1"/>
  <c r="AS56" i="20"/>
  <c r="AV75" i="28" s="1"/>
  <c r="S95" i="28" s="1"/>
  <c r="AT56" i="20"/>
  <c r="T140" i="20" s="1"/>
  <c r="AU56" i="20"/>
  <c r="U140" i="20" s="1"/>
  <c r="AK54" i="20"/>
  <c r="AN73" i="28" s="1"/>
  <c r="AL54" i="20"/>
  <c r="AO73" i="28" s="1"/>
  <c r="AM54" i="20"/>
  <c r="AP73" i="28" s="1"/>
  <c r="AN54" i="20"/>
  <c r="AQ73" i="28" s="1"/>
  <c r="AO54" i="20"/>
  <c r="O144" i="20" s="1"/>
  <c r="AP54" i="20"/>
  <c r="AS73" i="28" s="1"/>
  <c r="AQ54" i="20"/>
  <c r="AT73" i="28" s="1"/>
  <c r="AR54" i="20"/>
  <c r="AU73" i="28" s="1"/>
  <c r="AS54" i="20"/>
  <c r="AV73" i="28" s="1"/>
  <c r="AT54" i="20"/>
  <c r="T144" i="20" s="1"/>
  <c r="AU54" i="20"/>
  <c r="U144" i="20" s="1"/>
  <c r="U61" i="20"/>
  <c r="T62" i="20"/>
  <c r="U62" i="20"/>
  <c r="T66" i="20"/>
  <c r="U66" i="20"/>
  <c r="T65" i="20"/>
  <c r="U65" i="20"/>
  <c r="T67" i="20"/>
  <c r="U67" i="20"/>
  <c r="T73" i="20"/>
  <c r="U73" i="20"/>
  <c r="T81" i="20"/>
  <c r="T48" i="20"/>
  <c r="U48" i="20"/>
  <c r="T43" i="20"/>
  <c r="U43" i="20"/>
  <c r="T44" i="20"/>
  <c r="U44" i="20"/>
  <c r="T45" i="20"/>
  <c r="U45" i="20"/>
  <c r="T46" i="20"/>
  <c r="U46" i="20"/>
  <c r="T47" i="20"/>
  <c r="U47" i="20"/>
  <c r="U59" i="20"/>
  <c r="T59" i="20"/>
  <c r="P59" i="20"/>
  <c r="O59" i="20"/>
  <c r="AG39" i="20"/>
  <c r="AJ58" i="28" s="1"/>
  <c r="G136" i="28" s="1"/>
  <c r="AH39" i="20"/>
  <c r="AK58" i="28" s="1"/>
  <c r="H136" i="28" s="1"/>
  <c r="AI39" i="20"/>
  <c r="AL58" i="28" s="1"/>
  <c r="I136" i="28" s="1"/>
  <c r="AN39" i="20"/>
  <c r="AQ58" i="28" s="1"/>
  <c r="N136" i="28" s="1"/>
  <c r="AO39" i="20"/>
  <c r="O136" i="20" s="1"/>
  <c r="AP39" i="20"/>
  <c r="P57" i="20" s="1"/>
  <c r="AQ39" i="20"/>
  <c r="AT58" i="28" s="1"/>
  <c r="Q136" i="28" s="1"/>
  <c r="AF39" i="20"/>
  <c r="AI58" i="28" s="1"/>
  <c r="AG38" i="20"/>
  <c r="AJ57" i="28" s="1"/>
  <c r="AH38" i="20"/>
  <c r="AK57" i="28" s="1"/>
  <c r="AI38" i="20"/>
  <c r="AL57" i="28" s="1"/>
  <c r="AJ38" i="20"/>
  <c r="AM57" i="28" s="1"/>
  <c r="AK38" i="20"/>
  <c r="AN57" i="28" s="1"/>
  <c r="AL38" i="20"/>
  <c r="AO57" i="28" s="1"/>
  <c r="AM38" i="20"/>
  <c r="AP57" i="28" s="1"/>
  <c r="AN38" i="20"/>
  <c r="AQ57" i="28" s="1"/>
  <c r="AO38" i="20"/>
  <c r="AR57" i="28" s="1"/>
  <c r="AP38" i="20"/>
  <c r="AS57" i="28" s="1"/>
  <c r="AQ38" i="20"/>
  <c r="AT57" i="28" s="1"/>
  <c r="AR38" i="20"/>
  <c r="AU57" i="28" s="1"/>
  <c r="AS38" i="20"/>
  <c r="AV57" i="28" s="1"/>
  <c r="AT38" i="20"/>
  <c r="AW57" i="28" s="1"/>
  <c r="AU38" i="20"/>
  <c r="AX57" i="28" s="1"/>
  <c r="AF38" i="20"/>
  <c r="AI57" i="28" s="1"/>
  <c r="AG37" i="20"/>
  <c r="AJ56" i="28" s="1"/>
  <c r="G134" i="28" s="1"/>
  <c r="AH37" i="20"/>
  <c r="AK56" i="28" s="1"/>
  <c r="H134" i="28" s="1"/>
  <c r="AI37" i="20"/>
  <c r="AL56" i="28" s="1"/>
  <c r="I134" i="28" s="1"/>
  <c r="AJ37" i="20"/>
  <c r="AM56" i="28" s="1"/>
  <c r="J134" i="28" s="1"/>
  <c r="AK37" i="20"/>
  <c r="AN56" i="28" s="1"/>
  <c r="K134" i="28" s="1"/>
  <c r="AL37" i="20"/>
  <c r="AO56" i="28" s="1"/>
  <c r="L134" i="28" s="1"/>
  <c r="AM37" i="20"/>
  <c r="AP56" i="28" s="1"/>
  <c r="M134" i="28" s="1"/>
  <c r="AN37" i="20"/>
  <c r="AQ56" i="28" s="1"/>
  <c r="N134" i="28" s="1"/>
  <c r="AO37" i="20"/>
  <c r="O55" i="20" s="1"/>
  <c r="AP37" i="20"/>
  <c r="P55" i="20" s="1"/>
  <c r="AQ37" i="20"/>
  <c r="AT56" i="28" s="1"/>
  <c r="Q55" i="28" s="1"/>
  <c r="AR37" i="20"/>
  <c r="AU56" i="28" s="1"/>
  <c r="R55" i="28" s="1"/>
  <c r="AS37" i="20"/>
  <c r="AV56" i="28" s="1"/>
  <c r="S55" i="28" s="1"/>
  <c r="AT37" i="20"/>
  <c r="T55" i="20" s="1"/>
  <c r="AU37" i="20"/>
  <c r="U55" i="20" s="1"/>
  <c r="AF37" i="20"/>
  <c r="AI56" i="28" s="1"/>
  <c r="O53" i="20"/>
  <c r="AU32" i="20"/>
  <c r="AX51" i="28" s="1"/>
  <c r="AT32" i="20"/>
  <c r="AW51" i="28" s="1"/>
  <c r="AS32" i="20"/>
  <c r="AV51" i="28" s="1"/>
  <c r="AR32" i="20"/>
  <c r="AU51" i="28" s="1"/>
  <c r="AQ32" i="20"/>
  <c r="AT51" i="28" s="1"/>
  <c r="AP32" i="20"/>
  <c r="AS51" i="28" s="1"/>
  <c r="AO32" i="20"/>
  <c r="AR51" i="28" s="1"/>
  <c r="AN32" i="20"/>
  <c r="AQ51" i="28" s="1"/>
  <c r="AO24" i="20"/>
  <c r="O42" i="20" s="1"/>
  <c r="AP24" i="20"/>
  <c r="AQ24" i="20"/>
  <c r="AR24" i="20"/>
  <c r="AS24" i="20"/>
  <c r="AT24" i="20"/>
  <c r="T42" i="20" s="1"/>
  <c r="AU24" i="20"/>
  <c r="U42" i="20" s="1"/>
  <c r="T79" i="11"/>
  <c r="S79" i="11"/>
  <c r="R79" i="11"/>
  <c r="Q79" i="11"/>
  <c r="T78" i="11"/>
  <c r="S78" i="11"/>
  <c r="R78" i="11"/>
  <c r="Q78" i="11"/>
  <c r="T77" i="11"/>
  <c r="S77" i="11"/>
  <c r="R77" i="11"/>
  <c r="Q77" i="11"/>
  <c r="T76" i="11"/>
  <c r="S76" i="11"/>
  <c r="R76" i="11"/>
  <c r="Q76" i="11"/>
  <c r="T75" i="11"/>
  <c r="S75" i="11"/>
  <c r="R75" i="11"/>
  <c r="Q75" i="11"/>
  <c r="P79" i="11"/>
  <c r="O79" i="11"/>
  <c r="N79" i="11"/>
  <c r="M79" i="11"/>
  <c r="P78" i="11"/>
  <c r="O78" i="11"/>
  <c r="N78" i="11"/>
  <c r="M78" i="11"/>
  <c r="P77" i="11"/>
  <c r="O77" i="11"/>
  <c r="N77" i="11"/>
  <c r="M77" i="11"/>
  <c r="P76" i="11"/>
  <c r="O76" i="11"/>
  <c r="N76" i="11"/>
  <c r="M76" i="11"/>
  <c r="P75" i="11"/>
  <c r="O75" i="11"/>
  <c r="N75" i="11"/>
  <c r="M75" i="11"/>
  <c r="P71" i="11"/>
  <c r="P70" i="11"/>
  <c r="R70" i="11"/>
  <c r="S70" i="11"/>
  <c r="R69" i="11"/>
  <c r="N68" i="11"/>
  <c r="P68" i="11"/>
  <c r="Q68" i="11"/>
  <c r="O67" i="11"/>
  <c r="P67" i="11"/>
  <c r="S67" i="11"/>
  <c r="Q60" i="11"/>
  <c r="R60" i="11"/>
  <c r="S60" i="11"/>
  <c r="T60" i="11"/>
  <c r="N61" i="11"/>
  <c r="O61" i="11"/>
  <c r="P61" i="11"/>
  <c r="Q61" i="11"/>
  <c r="R61" i="11"/>
  <c r="S61" i="11"/>
  <c r="T61" i="11"/>
  <c r="N62" i="11"/>
  <c r="O62" i="11"/>
  <c r="P62" i="11"/>
  <c r="Q62" i="11"/>
  <c r="R62" i="11"/>
  <c r="S62" i="11"/>
  <c r="T62" i="11"/>
  <c r="O54" i="11"/>
  <c r="P54" i="11"/>
  <c r="Q54" i="11"/>
  <c r="R54" i="11"/>
  <c r="S54" i="11"/>
  <c r="T54" i="11"/>
  <c r="O52" i="11"/>
  <c r="P52" i="11"/>
  <c r="Q52" i="11"/>
  <c r="R52" i="11"/>
  <c r="S52" i="11"/>
  <c r="T52" i="11"/>
  <c r="O53" i="11"/>
  <c r="P53" i="11"/>
  <c r="Q53" i="11"/>
  <c r="R53" i="11"/>
  <c r="S53" i="11"/>
  <c r="T53" i="11"/>
  <c r="N53" i="11"/>
  <c r="N52" i="11"/>
  <c r="N54" i="11" s="1"/>
  <c r="F12" i="11"/>
  <c r="G12" i="11"/>
  <c r="H12" i="11"/>
  <c r="I12" i="11"/>
  <c r="J12" i="11"/>
  <c r="K12" i="11"/>
  <c r="L12" i="11"/>
  <c r="M12" i="11"/>
  <c r="N12" i="11"/>
  <c r="N67" i="11" s="1"/>
  <c r="O12" i="11"/>
  <c r="P12" i="11"/>
  <c r="Q12" i="11"/>
  <c r="Q67" i="11" s="1"/>
  <c r="R12" i="11"/>
  <c r="R67" i="11" s="1"/>
  <c r="S12" i="11"/>
  <c r="T12" i="11"/>
  <c r="T67" i="11" s="1"/>
  <c r="F13" i="11"/>
  <c r="G13" i="11"/>
  <c r="H13" i="11"/>
  <c r="I13" i="11"/>
  <c r="J13" i="11"/>
  <c r="K13" i="11"/>
  <c r="L13" i="11"/>
  <c r="M13" i="11"/>
  <c r="N13" i="11"/>
  <c r="O13" i="11"/>
  <c r="O68" i="11" s="1"/>
  <c r="P13" i="11"/>
  <c r="Q13" i="11"/>
  <c r="R13" i="11"/>
  <c r="R68" i="11" s="1"/>
  <c r="S13" i="11"/>
  <c r="S68" i="11" s="1"/>
  <c r="T13" i="11"/>
  <c r="T68" i="11" s="1"/>
  <c r="F14" i="11"/>
  <c r="G14" i="11"/>
  <c r="H14" i="11"/>
  <c r="I14" i="11"/>
  <c r="J14" i="11"/>
  <c r="K14" i="11"/>
  <c r="L14" i="11"/>
  <c r="M14" i="11"/>
  <c r="N14" i="11"/>
  <c r="N69" i="11" s="1"/>
  <c r="O14" i="11"/>
  <c r="O69" i="11" s="1"/>
  <c r="P14" i="11"/>
  <c r="P69" i="11" s="1"/>
  <c r="Q14" i="11"/>
  <c r="Q69" i="11" s="1"/>
  <c r="R14" i="11"/>
  <c r="S14" i="11"/>
  <c r="S69" i="11" s="1"/>
  <c r="T14" i="11"/>
  <c r="T69" i="11" s="1"/>
  <c r="F15" i="11"/>
  <c r="G15" i="11"/>
  <c r="H15" i="11"/>
  <c r="I15" i="11"/>
  <c r="J15" i="11"/>
  <c r="K15" i="11"/>
  <c r="L15" i="11"/>
  <c r="M15" i="11"/>
  <c r="N15" i="11"/>
  <c r="N70" i="11" s="1"/>
  <c r="O15" i="11"/>
  <c r="O70" i="11" s="1"/>
  <c r="P15" i="11"/>
  <c r="Q15" i="11"/>
  <c r="Q70" i="11" s="1"/>
  <c r="R15" i="11"/>
  <c r="S15" i="11"/>
  <c r="T15" i="11"/>
  <c r="T70" i="11" s="1"/>
  <c r="F16" i="11"/>
  <c r="G16" i="11"/>
  <c r="H16" i="11"/>
  <c r="M16" i="11"/>
  <c r="N16" i="11"/>
  <c r="N71" i="11" s="1"/>
  <c r="O16" i="11"/>
  <c r="O71" i="11" s="1"/>
  <c r="P16" i="11"/>
  <c r="E12" i="11"/>
  <c r="E13" i="11"/>
  <c r="E14" i="11"/>
  <c r="E15" i="11"/>
  <c r="E16" i="11"/>
  <c r="AP119" i="30"/>
  <c r="L2" i="30" s="1"/>
  <c r="N23" i="28" s="1"/>
  <c r="AL119" i="30"/>
  <c r="K2" i="30" s="1"/>
  <c r="M23" i="28" s="1"/>
  <c r="I2" i="30"/>
  <c r="K23" i="28" s="1"/>
  <c r="V119" i="30"/>
  <c r="G2" i="30" s="1"/>
  <c r="I23" i="28" s="1"/>
  <c r="BN7" i="29"/>
  <c r="BN8" i="29" s="1"/>
  <c r="BN9" i="29" s="1"/>
  <c r="DP228" i="30"/>
  <c r="DL228" i="30"/>
  <c r="DH228" i="30"/>
  <c r="DD228" i="30"/>
  <c r="CZ228" i="30"/>
  <c r="CV228" i="30"/>
  <c r="CR228" i="30"/>
  <c r="CN228" i="30"/>
  <c r="CI228" i="30"/>
  <c r="CC228" i="30"/>
  <c r="BW228" i="30"/>
  <c r="BP228" i="30"/>
  <c r="BJ228" i="30"/>
  <c r="BE228" i="30"/>
  <c r="AZ228" i="30"/>
  <c r="AT228" i="30"/>
  <c r="AP228" i="30"/>
  <c r="AL228" i="30"/>
  <c r="AH228" i="30"/>
  <c r="AD228" i="30"/>
  <c r="Z228" i="30"/>
  <c r="V228" i="30"/>
  <c r="Q228" i="30"/>
  <c r="L228" i="30"/>
  <c r="G228" i="30"/>
  <c r="DP226" i="30"/>
  <c r="DL226" i="30"/>
  <c r="DH226" i="30"/>
  <c r="DD226" i="30"/>
  <c r="CZ226" i="30"/>
  <c r="CV226" i="30"/>
  <c r="CR226" i="30"/>
  <c r="CN226" i="30"/>
  <c r="CI226" i="30"/>
  <c r="CC226" i="30"/>
  <c r="BW226" i="30"/>
  <c r="BP226" i="30"/>
  <c r="BJ226" i="30"/>
  <c r="BE226" i="30"/>
  <c r="AZ226" i="30"/>
  <c r="AT226" i="30"/>
  <c r="AP226" i="30"/>
  <c r="AL226" i="30"/>
  <c r="AH226" i="30"/>
  <c r="AD226" i="30"/>
  <c r="Z226" i="30"/>
  <c r="V226" i="30"/>
  <c r="Q226" i="30"/>
  <c r="L226" i="30"/>
  <c r="I9" i="30" s="1"/>
  <c r="G226" i="30"/>
  <c r="DP225" i="30"/>
  <c r="DL225" i="30"/>
  <c r="DH225" i="30"/>
  <c r="DD225" i="30"/>
  <c r="CZ225" i="30"/>
  <c r="CV225" i="30"/>
  <c r="CR225" i="30"/>
  <c r="CN225" i="30"/>
  <c r="CI225" i="30"/>
  <c r="CC225" i="30"/>
  <c r="BW225" i="30"/>
  <c r="BP225" i="30"/>
  <c r="BJ225" i="30"/>
  <c r="BE225" i="30"/>
  <c r="AZ225" i="30"/>
  <c r="AT225" i="30"/>
  <c r="AP225" i="30"/>
  <c r="AL225" i="30"/>
  <c r="AH225" i="30"/>
  <c r="AD225" i="30"/>
  <c r="Z225" i="30"/>
  <c r="V225" i="30"/>
  <c r="Q225" i="30"/>
  <c r="L225" i="30"/>
  <c r="G225" i="30"/>
  <c r="DP224" i="30"/>
  <c r="DL224" i="30"/>
  <c r="DH224" i="30"/>
  <c r="DD224" i="30"/>
  <c r="CZ224" i="30"/>
  <c r="CV224" i="30"/>
  <c r="CR224" i="30"/>
  <c r="CN224" i="30"/>
  <c r="CI224" i="30"/>
  <c r="CC224" i="30"/>
  <c r="BW224" i="30"/>
  <c r="BP224" i="30"/>
  <c r="BJ224" i="30"/>
  <c r="BE224" i="30"/>
  <c r="AZ224" i="30"/>
  <c r="AT224" i="30"/>
  <c r="AP224" i="30"/>
  <c r="AL224" i="30"/>
  <c r="AH224" i="30"/>
  <c r="AD224" i="30"/>
  <c r="Z224" i="30"/>
  <c r="V224" i="30"/>
  <c r="K7" i="30" s="1"/>
  <c r="Q224" i="30"/>
  <c r="L224" i="30"/>
  <c r="G224" i="30"/>
  <c r="H8" i="30" s="1"/>
  <c r="DP219" i="30"/>
  <c r="DL219" i="30"/>
  <c r="DH219" i="30"/>
  <c r="DD219" i="30"/>
  <c r="CZ219" i="30"/>
  <c r="CV219" i="30"/>
  <c r="CR219" i="30"/>
  <c r="CN219" i="30"/>
  <c r="CI219" i="30"/>
  <c r="CC219" i="30"/>
  <c r="BW219" i="30"/>
  <c r="BP219" i="30"/>
  <c r="BJ219" i="30"/>
  <c r="BE219" i="30"/>
  <c r="AZ219" i="30"/>
  <c r="AT219" i="30"/>
  <c r="AP219" i="30"/>
  <c r="AL219" i="30"/>
  <c r="AH219" i="30"/>
  <c r="AD219" i="30"/>
  <c r="Z219" i="30"/>
  <c r="V219" i="30"/>
  <c r="Q219" i="30"/>
  <c r="L219" i="30"/>
  <c r="G219" i="30"/>
  <c r="DP203" i="30"/>
  <c r="DL203" i="30"/>
  <c r="DH203" i="30"/>
  <c r="DD203" i="30"/>
  <c r="CZ203" i="30"/>
  <c r="CV203" i="30"/>
  <c r="CR203" i="30"/>
  <c r="CN203" i="30"/>
  <c r="CI203" i="30"/>
  <c r="CC203" i="30"/>
  <c r="BW203" i="30"/>
  <c r="BP203" i="30"/>
  <c r="BJ203" i="30"/>
  <c r="BE203" i="30"/>
  <c r="AZ203" i="30"/>
  <c r="AT203" i="30"/>
  <c r="AP203" i="30"/>
  <c r="AL203" i="30"/>
  <c r="AH203" i="30"/>
  <c r="AD203" i="30"/>
  <c r="Z203" i="30"/>
  <c r="V203" i="30"/>
  <c r="Q203" i="30"/>
  <c r="L203" i="30"/>
  <c r="G203" i="30"/>
  <c r="DP202" i="30"/>
  <c r="DL202" i="30"/>
  <c r="DH202" i="30"/>
  <c r="DD202" i="30"/>
  <c r="CZ202" i="30"/>
  <c r="CV202" i="30"/>
  <c r="CR202" i="30"/>
  <c r="CN202" i="30"/>
  <c r="CI202" i="30"/>
  <c r="CC202" i="30"/>
  <c r="BW202" i="30"/>
  <c r="BP202" i="30"/>
  <c r="BJ202" i="30"/>
  <c r="BE202" i="30"/>
  <c r="AZ202" i="30"/>
  <c r="AT202" i="30"/>
  <c r="AP202" i="30"/>
  <c r="AL202" i="30"/>
  <c r="AH202" i="30"/>
  <c r="AD202" i="30"/>
  <c r="Z202" i="30"/>
  <c r="V202" i="30"/>
  <c r="Q202" i="30"/>
  <c r="L202" i="30"/>
  <c r="G202" i="30"/>
  <c r="H6" i="30" s="1"/>
  <c r="DP200" i="30"/>
  <c r="DL200" i="30"/>
  <c r="DH200" i="30"/>
  <c r="DD200" i="30"/>
  <c r="CZ200" i="30"/>
  <c r="CV200" i="30"/>
  <c r="CR200" i="30"/>
  <c r="CN200" i="30"/>
  <c r="CN251" i="30" s="1"/>
  <c r="CI200" i="30"/>
  <c r="CI251" i="30" s="1"/>
  <c r="CC200" i="30"/>
  <c r="BW200" i="30"/>
  <c r="BP200" i="30"/>
  <c r="BP251" i="30" s="1"/>
  <c r="BJ200" i="30"/>
  <c r="BE200" i="30"/>
  <c r="AZ200" i="30"/>
  <c r="AT200" i="30"/>
  <c r="AP200" i="30"/>
  <c r="AL200" i="30"/>
  <c r="AH200" i="30"/>
  <c r="AD200" i="30"/>
  <c r="AD251" i="30" s="1"/>
  <c r="Z200" i="30"/>
  <c r="Z251" i="30" s="1"/>
  <c r="V200" i="30"/>
  <c r="Q200" i="30"/>
  <c r="L200" i="30"/>
  <c r="L251" i="30" s="1"/>
  <c r="G200" i="30"/>
  <c r="B196" i="30"/>
  <c r="BN129" i="30"/>
  <c r="BN128" i="30"/>
  <c r="BN127" i="30"/>
  <c r="BW125" i="30"/>
  <c r="BP125" i="30"/>
  <c r="BJ125" i="30"/>
  <c r="BE125" i="30"/>
  <c r="AZ125" i="30"/>
  <c r="AT125" i="30"/>
  <c r="AP125" i="30"/>
  <c r="CC124" i="30"/>
  <c r="DP96" i="30"/>
  <c r="DL96" i="30"/>
  <c r="DH96" i="30"/>
  <c r="DD96" i="30"/>
  <c r="CZ96" i="30"/>
  <c r="CV96" i="30"/>
  <c r="CR96" i="30"/>
  <c r="CN96" i="30"/>
  <c r="CI96" i="30"/>
  <c r="C96" i="30"/>
  <c r="C8" i="30" s="1"/>
  <c r="DP94" i="30"/>
  <c r="DL94" i="30"/>
  <c r="DH94" i="30"/>
  <c r="DD94" i="30"/>
  <c r="CZ94" i="30"/>
  <c r="CV94" i="30"/>
  <c r="CR94" i="30"/>
  <c r="CN94" i="30"/>
  <c r="CI94" i="30"/>
  <c r="C94" i="30"/>
  <c r="DP93" i="30"/>
  <c r="DL93" i="30"/>
  <c r="DH93" i="30"/>
  <c r="DD93" i="30"/>
  <c r="CZ93" i="30"/>
  <c r="CV93" i="30"/>
  <c r="CR93" i="30"/>
  <c r="CN93" i="30"/>
  <c r="CI93" i="30"/>
  <c r="D10" i="30"/>
  <c r="C93" i="30"/>
  <c r="C10" i="30" s="1"/>
  <c r="DP92" i="30"/>
  <c r="DL92" i="30"/>
  <c r="DH92" i="30"/>
  <c r="DD92" i="30"/>
  <c r="CZ92" i="30"/>
  <c r="CV92" i="30"/>
  <c r="CR92" i="30"/>
  <c r="CN92" i="30"/>
  <c r="CI92" i="30"/>
  <c r="E10" i="30"/>
  <c r="C92" i="30"/>
  <c r="DP87" i="30"/>
  <c r="DL87" i="30"/>
  <c r="DH87" i="30"/>
  <c r="DD87" i="30"/>
  <c r="CZ87" i="30"/>
  <c r="CV87" i="30"/>
  <c r="CR87" i="30"/>
  <c r="CN87" i="30"/>
  <c r="CI87" i="30"/>
  <c r="F7" i="30"/>
  <c r="D7" i="30"/>
  <c r="DL85" i="30"/>
  <c r="CZ84" i="30"/>
  <c r="DL74" i="30"/>
  <c r="DP71" i="30"/>
  <c r="DL71" i="30"/>
  <c r="DH71" i="30"/>
  <c r="DD71" i="30"/>
  <c r="CZ71" i="30"/>
  <c r="F5" i="30"/>
  <c r="DP70" i="30"/>
  <c r="DL70" i="30"/>
  <c r="DH70" i="30"/>
  <c r="DD70" i="30"/>
  <c r="CZ70" i="30"/>
  <c r="CV70" i="30"/>
  <c r="CR70" i="30"/>
  <c r="CN70" i="30"/>
  <c r="CI70" i="30"/>
  <c r="C69" i="30"/>
  <c r="C5" i="30" s="1"/>
  <c r="DP68" i="30"/>
  <c r="DL68" i="30"/>
  <c r="DH68" i="30"/>
  <c r="DD68" i="30"/>
  <c r="CZ68" i="30"/>
  <c r="CV68" i="30"/>
  <c r="CR68" i="30"/>
  <c r="CN68" i="30"/>
  <c r="CI68" i="30"/>
  <c r="CI119" i="30" s="1"/>
  <c r="E4" i="30"/>
  <c r="DP57" i="30"/>
  <c r="DL57" i="30"/>
  <c r="DH57" i="30"/>
  <c r="DD57" i="30"/>
  <c r="CZ57" i="30"/>
  <c r="CV57" i="30"/>
  <c r="CR57" i="30"/>
  <c r="CN57" i="30"/>
  <c r="CI57" i="30"/>
  <c r="CC57" i="30"/>
  <c r="BW57" i="30"/>
  <c r="BP57" i="30"/>
  <c r="BJ57" i="30"/>
  <c r="BE57" i="30"/>
  <c r="AZ57" i="30"/>
  <c r="AT57" i="30"/>
  <c r="AP57" i="30"/>
  <c r="AL57" i="30"/>
  <c r="AH57" i="30"/>
  <c r="AD57" i="30"/>
  <c r="V57" i="30"/>
  <c r="Q57" i="30"/>
  <c r="L57" i="30"/>
  <c r="G57" i="30"/>
  <c r="DP53" i="30"/>
  <c r="DL53" i="30"/>
  <c r="DH53" i="30"/>
  <c r="DD53" i="30"/>
  <c r="CZ53" i="30"/>
  <c r="CV53" i="30"/>
  <c r="CR53" i="30"/>
  <c r="CN53" i="30"/>
  <c r="CI53" i="30"/>
  <c r="CC53" i="30"/>
  <c r="BW53" i="30"/>
  <c r="BP53" i="30"/>
  <c r="BJ53" i="30"/>
  <c r="BE53" i="30"/>
  <c r="AZ53" i="30"/>
  <c r="AT53" i="30"/>
  <c r="AP53" i="30"/>
  <c r="AL53" i="30"/>
  <c r="AH53" i="30"/>
  <c r="AD53" i="30"/>
  <c r="Z53" i="30"/>
  <c r="V53" i="30"/>
  <c r="Q53" i="30"/>
  <c r="L53" i="30"/>
  <c r="G53" i="30"/>
  <c r="K40" i="30"/>
  <c r="DD37" i="30"/>
  <c r="BD37" i="30"/>
  <c r="AP37" i="30"/>
  <c r="AH37" i="30"/>
  <c r="BT36" i="30"/>
  <c r="G36" i="30"/>
  <c r="CZ33" i="30"/>
  <c r="AZ33" i="30"/>
  <c r="AL33" i="30"/>
  <c r="AD33" i="30"/>
  <c r="K33" i="30"/>
  <c r="BP32" i="30"/>
  <c r="J10" i="30"/>
  <c r="I10" i="30"/>
  <c r="H10" i="30"/>
  <c r="K9" i="30"/>
  <c r="J9" i="30"/>
  <c r="G9" i="30"/>
  <c r="F9" i="30"/>
  <c r="E9" i="30"/>
  <c r="D9" i="30"/>
  <c r="J8" i="30"/>
  <c r="I8" i="30"/>
  <c r="G8" i="30"/>
  <c r="F8" i="30"/>
  <c r="E8" i="30"/>
  <c r="D8" i="30"/>
  <c r="J7" i="30"/>
  <c r="I7" i="30"/>
  <c r="H7" i="30"/>
  <c r="G7" i="30"/>
  <c r="E7" i="30"/>
  <c r="C7" i="30"/>
  <c r="K6" i="30"/>
  <c r="I6" i="30"/>
  <c r="G6" i="30"/>
  <c r="F6" i="30"/>
  <c r="E6" i="30"/>
  <c r="D6" i="30"/>
  <c r="C6" i="30"/>
  <c r="K5" i="30"/>
  <c r="J5" i="30"/>
  <c r="I5" i="30"/>
  <c r="H5" i="30"/>
  <c r="G5" i="30"/>
  <c r="E5" i="30"/>
  <c r="D5" i="30"/>
  <c r="K4" i="30"/>
  <c r="J4" i="30"/>
  <c r="I4" i="30"/>
  <c r="H4" i="30"/>
  <c r="G4" i="30"/>
  <c r="F4" i="30"/>
  <c r="D4" i="30"/>
  <c r="C4" i="30"/>
  <c r="AR77" i="28" l="1"/>
  <c r="T54" i="20"/>
  <c r="AU78" i="28"/>
  <c r="R143" i="28" s="1"/>
  <c r="T139" i="20"/>
  <c r="T150" i="20"/>
  <c r="T151" i="20"/>
  <c r="AR82" i="28"/>
  <c r="O81" i="28" s="1"/>
  <c r="U81" i="20"/>
  <c r="U121" i="20" s="1"/>
  <c r="U60" i="20"/>
  <c r="T60" i="20"/>
  <c r="U54" i="20"/>
  <c r="S100" i="28"/>
  <c r="T41" i="28"/>
  <c r="U41" i="28"/>
  <c r="R100" i="28"/>
  <c r="T121" i="20"/>
  <c r="AT78" i="28"/>
  <c r="Q143" i="28" s="1"/>
  <c r="AS78" i="28"/>
  <c r="P143" i="28" s="1"/>
  <c r="J139" i="20"/>
  <c r="AR78" i="28"/>
  <c r="AW76" i="28"/>
  <c r="T141" i="28" s="1"/>
  <c r="AR73" i="28"/>
  <c r="O146" i="28" s="1"/>
  <c r="AV76" i="28"/>
  <c r="S141" i="28" s="1"/>
  <c r="AR75" i="28"/>
  <c r="O95" i="28" s="1"/>
  <c r="AU76" i="28"/>
  <c r="R141" i="28" s="1"/>
  <c r="S140" i="20"/>
  <c r="S95" i="20"/>
  <c r="AX77" i="28"/>
  <c r="U142" i="28" s="1"/>
  <c r="AT76" i="28"/>
  <c r="Q141" i="28" s="1"/>
  <c r="R140" i="20"/>
  <c r="R95" i="20"/>
  <c r="AW77" i="28"/>
  <c r="T142" i="28" s="1"/>
  <c r="AS76" i="28"/>
  <c r="P141" i="28" s="1"/>
  <c r="U68" i="20"/>
  <c r="U63" i="20" s="1"/>
  <c r="Q140" i="20"/>
  <c r="Q95" i="20"/>
  <c r="AV77" i="28"/>
  <c r="S142" i="28" s="1"/>
  <c r="AR76" i="28"/>
  <c r="T68" i="20"/>
  <c r="P140" i="20"/>
  <c r="P95" i="20"/>
  <c r="AX78" i="28"/>
  <c r="AU77" i="28"/>
  <c r="R142" i="28" s="1"/>
  <c r="AX73" i="28"/>
  <c r="U146" i="28" s="1"/>
  <c r="AW78" i="28"/>
  <c r="T143" i="28" s="1"/>
  <c r="AT77" i="28"/>
  <c r="Q142" i="28" s="1"/>
  <c r="AX75" i="28"/>
  <c r="U95" i="28" s="1"/>
  <c r="AW73" i="28"/>
  <c r="T146" i="28" s="1"/>
  <c r="AV78" i="28"/>
  <c r="S143" i="28" s="1"/>
  <c r="AS77" i="28"/>
  <c r="P142" i="28" s="1"/>
  <c r="AW75" i="28"/>
  <c r="T95" i="28" s="1"/>
  <c r="O41" i="20"/>
  <c r="O142" i="28"/>
  <c r="O79" i="28"/>
  <c r="O100" i="28"/>
  <c r="U79" i="28"/>
  <c r="U100" i="28"/>
  <c r="AS56" i="28"/>
  <c r="P55" i="28" s="1"/>
  <c r="AR56" i="28"/>
  <c r="O55" i="28" s="1"/>
  <c r="AW56" i="28"/>
  <c r="T55" i="28" s="1"/>
  <c r="AX56" i="28"/>
  <c r="U55" i="28" s="1"/>
  <c r="AS61" i="28"/>
  <c r="AS58" i="28"/>
  <c r="P136" i="28" s="1"/>
  <c r="AR61" i="28"/>
  <c r="O60" i="28" s="1"/>
  <c r="AR58" i="28"/>
  <c r="O57" i="28" s="1"/>
  <c r="T79" i="28"/>
  <c r="T100" i="28"/>
  <c r="AM77" i="28"/>
  <c r="AM76" i="28"/>
  <c r="AM75" i="28"/>
  <c r="AM78" i="28"/>
  <c r="N23" i="20"/>
  <c r="K23" i="20"/>
  <c r="I23" i="20"/>
  <c r="U141" i="28"/>
  <c r="Q134" i="28"/>
  <c r="R140" i="28"/>
  <c r="Q140" i="28"/>
  <c r="P140" i="28"/>
  <c r="R134" i="28"/>
  <c r="O141" i="28"/>
  <c r="S134" i="28"/>
  <c r="S140" i="28"/>
  <c r="M23" i="20"/>
  <c r="U66" i="28"/>
  <c r="T66" i="28"/>
  <c r="T119" i="20"/>
  <c r="U119" i="20"/>
  <c r="O134" i="20"/>
  <c r="O133" i="20"/>
  <c r="O119" i="20"/>
  <c r="O121" i="20"/>
  <c r="O57" i="20"/>
  <c r="U134" i="20"/>
  <c r="T134" i="20"/>
  <c r="U141" i="20"/>
  <c r="U151" i="20" s="1"/>
  <c r="T53" i="20"/>
  <c r="U133" i="20"/>
  <c r="U74" i="20"/>
  <c r="U114" i="20" s="1"/>
  <c r="T74" i="20"/>
  <c r="T114" i="20" s="1"/>
  <c r="O140" i="20"/>
  <c r="O74" i="20"/>
  <c r="O114" i="20" s="1"/>
  <c r="U41" i="20"/>
  <c r="T41" i="20"/>
  <c r="T63" i="20"/>
  <c r="DD119" i="30"/>
  <c r="Q251" i="30"/>
  <c r="BW251" i="30"/>
  <c r="C11" i="30"/>
  <c r="C23" i="30" s="1"/>
  <c r="D11" i="30"/>
  <c r="D25" i="30" s="1"/>
  <c r="DH119" i="30"/>
  <c r="V251" i="30"/>
  <c r="CC251" i="30"/>
  <c r="J6" i="30"/>
  <c r="DP119" i="30"/>
  <c r="CZ119" i="30"/>
  <c r="G119" i="30"/>
  <c r="AH251" i="30"/>
  <c r="CR251" i="30"/>
  <c r="DL119" i="30"/>
  <c r="AL251" i="30"/>
  <c r="CV251" i="30"/>
  <c r="H9" i="30"/>
  <c r="H11" i="30" s="1"/>
  <c r="J11" i="30"/>
  <c r="Q119" i="30"/>
  <c r="F2" i="30" s="1"/>
  <c r="AP251" i="30"/>
  <c r="CZ251" i="30"/>
  <c r="AT251" i="30"/>
  <c r="DD251" i="30"/>
  <c r="CN119" i="30"/>
  <c r="AT119" i="30"/>
  <c r="M2" i="30" s="1"/>
  <c r="AZ251" i="30"/>
  <c r="DH251" i="30"/>
  <c r="D14" i="30"/>
  <c r="CR119" i="30"/>
  <c r="AZ119" i="30"/>
  <c r="N2" i="30" s="1"/>
  <c r="F10" i="30"/>
  <c r="F11" i="30" s="1"/>
  <c r="BE251" i="30"/>
  <c r="DL251" i="30"/>
  <c r="I11" i="30"/>
  <c r="CV119" i="30"/>
  <c r="G251" i="30"/>
  <c r="BJ251" i="30"/>
  <c r="DP251" i="30"/>
  <c r="BW119" i="30"/>
  <c r="R2" i="30" s="1"/>
  <c r="AH119" i="30"/>
  <c r="J2" i="30" s="1"/>
  <c r="BP119" i="30"/>
  <c r="Q2" i="30" s="1"/>
  <c r="P2" i="30"/>
  <c r="CC119" i="30"/>
  <c r="S2" i="30" s="1"/>
  <c r="BE119" i="30"/>
  <c r="O2" i="30" s="1"/>
  <c r="G10" i="30"/>
  <c r="K10" i="30"/>
  <c r="H2" i="30"/>
  <c r="C15" i="30"/>
  <c r="C16" i="30"/>
  <c r="C25" i="30"/>
  <c r="E11" i="30"/>
  <c r="E23" i="30" s="1"/>
  <c r="C14" i="30"/>
  <c r="C22" i="30"/>
  <c r="G11" i="30"/>
  <c r="G17" i="30" s="1"/>
  <c r="C21" i="30"/>
  <c r="C26" i="30"/>
  <c r="C119" i="30"/>
  <c r="K8" i="30"/>
  <c r="K11" i="30" s="1"/>
  <c r="K12" i="30" s="1"/>
  <c r="C17" i="30"/>
  <c r="C24" i="30"/>
  <c r="L119" i="30"/>
  <c r="E2" i="30" s="1"/>
  <c r="C13" i="30"/>
  <c r="DO115" i="29"/>
  <c r="DD115" i="29"/>
  <c r="CS115" i="29"/>
  <c r="CH115" i="29"/>
  <c r="BW115" i="29"/>
  <c r="BL115" i="29"/>
  <c r="BA115" i="29"/>
  <c r="AP115" i="29"/>
  <c r="AF115" i="29"/>
  <c r="V115" i="29"/>
  <c r="S10" i="29" s="1"/>
  <c r="L115" i="29"/>
  <c r="R10" i="29" s="1"/>
  <c r="B115" i="29"/>
  <c r="Q10" i="29" s="1"/>
  <c r="DO109" i="29"/>
  <c r="DD109" i="29"/>
  <c r="CS109" i="29"/>
  <c r="CH109" i="29"/>
  <c r="BW109" i="29"/>
  <c r="BL109" i="29"/>
  <c r="BA109" i="29"/>
  <c r="AP109" i="29"/>
  <c r="AF109" i="29"/>
  <c r="V109" i="29"/>
  <c r="L109" i="29"/>
  <c r="B109" i="29"/>
  <c r="DO108" i="29"/>
  <c r="DD108" i="29"/>
  <c r="CS108" i="29"/>
  <c r="CH108" i="29"/>
  <c r="BW108" i="29"/>
  <c r="BL108" i="29"/>
  <c r="BA108" i="29"/>
  <c r="AP108" i="29"/>
  <c r="AF108" i="29"/>
  <c r="V108" i="29"/>
  <c r="S9" i="29" s="1"/>
  <c r="L108" i="29"/>
  <c r="R9" i="29" s="1"/>
  <c r="B108" i="29"/>
  <c r="Q9" i="29" s="1"/>
  <c r="DO102" i="29"/>
  <c r="DD102" i="29"/>
  <c r="CS102" i="29"/>
  <c r="CH102" i="29"/>
  <c r="BW102" i="29"/>
  <c r="BL102" i="29"/>
  <c r="BA102" i="29"/>
  <c r="AP102" i="29"/>
  <c r="AF102" i="29"/>
  <c r="V102" i="29"/>
  <c r="L102" i="29"/>
  <c r="B102" i="29"/>
  <c r="DO101" i="29"/>
  <c r="DD101" i="29"/>
  <c r="CS101" i="29"/>
  <c r="CH101" i="29"/>
  <c r="BW101" i="29"/>
  <c r="BL101" i="29"/>
  <c r="BA101" i="29"/>
  <c r="AP101" i="29"/>
  <c r="AF101" i="29"/>
  <c r="V101" i="29"/>
  <c r="L101" i="29"/>
  <c r="B101" i="29"/>
  <c r="DO94" i="29"/>
  <c r="DD94" i="29"/>
  <c r="CS94" i="29"/>
  <c r="CH94" i="29"/>
  <c r="BW94" i="29"/>
  <c r="BL94" i="29"/>
  <c r="BA94" i="29"/>
  <c r="AP94" i="29"/>
  <c r="AF94" i="29"/>
  <c r="V94" i="29"/>
  <c r="L94" i="29"/>
  <c r="B94" i="29"/>
  <c r="Q7" i="29" s="1"/>
  <c r="DO84" i="29"/>
  <c r="DD84" i="29"/>
  <c r="CS84" i="29"/>
  <c r="CH84" i="29"/>
  <c r="BW84" i="29"/>
  <c r="BL84" i="29"/>
  <c r="BA84" i="29"/>
  <c r="AP84" i="29"/>
  <c r="AF84" i="29"/>
  <c r="V84" i="29"/>
  <c r="S4" i="29" s="1"/>
  <c r="L84" i="29"/>
  <c r="R4" i="29" s="1"/>
  <c r="B84" i="29"/>
  <c r="Q4" i="29" s="1"/>
  <c r="DO73" i="29"/>
  <c r="DD73" i="29"/>
  <c r="CS73" i="29"/>
  <c r="CH73" i="29"/>
  <c r="BW73" i="29"/>
  <c r="BL73" i="29"/>
  <c r="BA73" i="29"/>
  <c r="AP73" i="29"/>
  <c r="AF73" i="29"/>
  <c r="V73" i="29"/>
  <c r="S3" i="29" s="1"/>
  <c r="L73" i="29"/>
  <c r="R3" i="29" s="1"/>
  <c r="B73" i="29"/>
  <c r="Q3" i="29" s="1"/>
  <c r="DZ58" i="29"/>
  <c r="P10" i="29" s="1"/>
  <c r="DO58" i="29"/>
  <c r="O10" i="29" s="1"/>
  <c r="DD58" i="29"/>
  <c r="N10" i="29" s="1"/>
  <c r="CS58" i="29"/>
  <c r="M10" i="29" s="1"/>
  <c r="CH58" i="29"/>
  <c r="BW58" i="29"/>
  <c r="K10" i="29" s="1"/>
  <c r="BL58" i="29"/>
  <c r="J10" i="29" s="1"/>
  <c r="BA58" i="29"/>
  <c r="I10" i="29" s="1"/>
  <c r="AP58" i="29"/>
  <c r="H10" i="29" s="1"/>
  <c r="AF58" i="29"/>
  <c r="V58" i="29"/>
  <c r="F10" i="29" s="1"/>
  <c r="L58" i="29"/>
  <c r="E10" i="29" s="1"/>
  <c r="B58" i="29"/>
  <c r="D10" i="29" s="1"/>
  <c r="DZ52" i="29"/>
  <c r="DO52" i="29"/>
  <c r="DD52" i="29"/>
  <c r="CS52" i="29"/>
  <c r="CH52" i="29"/>
  <c r="BW52" i="29"/>
  <c r="BL52" i="29"/>
  <c r="BA52" i="29"/>
  <c r="AP52" i="29"/>
  <c r="AF52" i="29"/>
  <c r="V52" i="29"/>
  <c r="L52" i="29"/>
  <c r="B52" i="29"/>
  <c r="DZ51" i="29"/>
  <c r="P9" i="29" s="1"/>
  <c r="DO51" i="29"/>
  <c r="DD51" i="29"/>
  <c r="CS51" i="29"/>
  <c r="CH51" i="29"/>
  <c r="BW51" i="29"/>
  <c r="K9" i="29" s="1"/>
  <c r="BL51" i="29"/>
  <c r="J9" i="29" s="1"/>
  <c r="BA51" i="29"/>
  <c r="I9" i="29" s="1"/>
  <c r="AP51" i="29"/>
  <c r="H9" i="29" s="1"/>
  <c r="AF51" i="29"/>
  <c r="V51" i="29"/>
  <c r="L51" i="29"/>
  <c r="B51" i="29"/>
  <c r="DZ45" i="29"/>
  <c r="DO45" i="29"/>
  <c r="DD45" i="29"/>
  <c r="CS45" i="29"/>
  <c r="CH45" i="29"/>
  <c r="BW45" i="29"/>
  <c r="BL45" i="29"/>
  <c r="BA45" i="29"/>
  <c r="AP45" i="29"/>
  <c r="AF45" i="29"/>
  <c r="V45" i="29"/>
  <c r="L45" i="29"/>
  <c r="B45" i="29"/>
  <c r="DZ44" i="29"/>
  <c r="DO44" i="29"/>
  <c r="DD44" i="29"/>
  <c r="CS44" i="29"/>
  <c r="CH44" i="29"/>
  <c r="BW44" i="29"/>
  <c r="BL44" i="29"/>
  <c r="J8" i="29" s="1"/>
  <c r="BA44" i="29"/>
  <c r="I8" i="29" s="1"/>
  <c r="AP44" i="29"/>
  <c r="AF44" i="29"/>
  <c r="V44" i="29"/>
  <c r="L44" i="29"/>
  <c r="B44" i="29"/>
  <c r="DZ37" i="29"/>
  <c r="DO37" i="29"/>
  <c r="DD37" i="29"/>
  <c r="CS37" i="29"/>
  <c r="CH37" i="29"/>
  <c r="BW37" i="29"/>
  <c r="K7" i="29" s="1"/>
  <c r="BL37" i="29"/>
  <c r="J7" i="29" s="1"/>
  <c r="BA37" i="29"/>
  <c r="AP37" i="29"/>
  <c r="AF37" i="29"/>
  <c r="V37" i="29"/>
  <c r="L37" i="29"/>
  <c r="B37" i="29"/>
  <c r="DZ27" i="29"/>
  <c r="DO27" i="29"/>
  <c r="DD27" i="29"/>
  <c r="CS27" i="29"/>
  <c r="CH27" i="29"/>
  <c r="BW27" i="29"/>
  <c r="K4" i="29" s="1"/>
  <c r="BL27" i="29"/>
  <c r="J4" i="29" s="1"/>
  <c r="BA27" i="29"/>
  <c r="I4" i="29" s="1"/>
  <c r="AP27" i="29"/>
  <c r="H4" i="29" s="1"/>
  <c r="AF27" i="29"/>
  <c r="G4" i="29" s="1"/>
  <c r="V27" i="29"/>
  <c r="F4" i="29" s="1"/>
  <c r="L27" i="29"/>
  <c r="E4" i="29" s="1"/>
  <c r="B27" i="29"/>
  <c r="DZ16" i="29"/>
  <c r="P3" i="29" s="1"/>
  <c r="DO16" i="29"/>
  <c r="O3" i="29" s="1"/>
  <c r="DD16" i="29"/>
  <c r="N3" i="29" s="1"/>
  <c r="CS16" i="29"/>
  <c r="M3" i="29" s="1"/>
  <c r="CH16" i="29"/>
  <c r="L3" i="29" s="1"/>
  <c r="BW16" i="29"/>
  <c r="K3" i="29" s="1"/>
  <c r="BL16" i="29"/>
  <c r="J3" i="29" s="1"/>
  <c r="BA16" i="29"/>
  <c r="I3" i="29" s="1"/>
  <c r="AP16" i="29"/>
  <c r="H3" i="29" s="1"/>
  <c r="AF16" i="29"/>
  <c r="G3" i="29" s="1"/>
  <c r="V16" i="29"/>
  <c r="F3" i="29" s="1"/>
  <c r="L16" i="29"/>
  <c r="E3" i="29" s="1"/>
  <c r="B16" i="29"/>
  <c r="D3" i="29" s="1"/>
  <c r="G10" i="29"/>
  <c r="O9" i="29"/>
  <c r="N9" i="29"/>
  <c r="M9" i="29"/>
  <c r="L9" i="29"/>
  <c r="F9" i="29"/>
  <c r="E9" i="29"/>
  <c r="D9" i="29"/>
  <c r="S8" i="29"/>
  <c r="R8" i="29"/>
  <c r="Q8" i="29"/>
  <c r="P8" i="29"/>
  <c r="O8" i="29"/>
  <c r="N8" i="29"/>
  <c r="M8" i="29"/>
  <c r="L8" i="29"/>
  <c r="K8" i="29"/>
  <c r="H8" i="29"/>
  <c r="G8" i="29"/>
  <c r="F8" i="29"/>
  <c r="E8" i="29"/>
  <c r="D8" i="29"/>
  <c r="S7" i="29"/>
  <c r="R7" i="29"/>
  <c r="P7" i="29"/>
  <c r="O7" i="29"/>
  <c r="N7" i="29"/>
  <c r="M7" i="29"/>
  <c r="L7" i="29"/>
  <c r="I7" i="29"/>
  <c r="H7" i="29"/>
  <c r="G7" i="29"/>
  <c r="F7" i="29"/>
  <c r="E7" i="29"/>
  <c r="D7" i="29"/>
  <c r="D4" i="29"/>
  <c r="U140" i="28" l="1"/>
  <c r="U74" i="28"/>
  <c r="O134" i="28"/>
  <c r="O74" i="28"/>
  <c r="T140" i="28"/>
  <c r="U150" i="20"/>
  <c r="O150" i="20"/>
  <c r="O151" i="20"/>
  <c r="U143" i="28"/>
  <c r="U139" i="28" s="1"/>
  <c r="U153" i="28" s="1"/>
  <c r="U77" i="28"/>
  <c r="O136" i="28"/>
  <c r="T74" i="28"/>
  <c r="P139" i="28"/>
  <c r="Q139" i="28"/>
  <c r="R139" i="28"/>
  <c r="S139" i="28"/>
  <c r="T139" i="28"/>
  <c r="T153" i="28" s="1"/>
  <c r="T151" i="28"/>
  <c r="T150" i="28"/>
  <c r="O143" i="28"/>
  <c r="O139" i="20"/>
  <c r="U139" i="20"/>
  <c r="R139" i="20"/>
  <c r="P139" i="20"/>
  <c r="O140" i="28"/>
  <c r="S139" i="20"/>
  <c r="Q139" i="20"/>
  <c r="U134" i="28"/>
  <c r="P134" i="28"/>
  <c r="T134" i="28"/>
  <c r="I16" i="11"/>
  <c r="AJ39" i="20"/>
  <c r="AL39" i="20"/>
  <c r="AO58" i="28" s="1"/>
  <c r="L136" i="28" s="1"/>
  <c r="K16" i="11"/>
  <c r="AK39" i="20"/>
  <c r="AN58" i="28" s="1"/>
  <c r="K136" i="28" s="1"/>
  <c r="J16" i="11"/>
  <c r="Q23" i="20"/>
  <c r="Q23" i="28"/>
  <c r="P23" i="20"/>
  <c r="P23" i="28"/>
  <c r="O23" i="20"/>
  <c r="O23" i="28"/>
  <c r="O17" i="28" s="1"/>
  <c r="L23" i="28"/>
  <c r="L23" i="20"/>
  <c r="H23" i="20"/>
  <c r="H23" i="28"/>
  <c r="H17" i="28" s="1"/>
  <c r="D21" i="30"/>
  <c r="D17" i="30"/>
  <c r="D26" i="30"/>
  <c r="D23" i="30"/>
  <c r="D19" i="30"/>
  <c r="D24" i="30"/>
  <c r="D16" i="30"/>
  <c r="D13" i="30"/>
  <c r="D15" i="30"/>
  <c r="F23" i="28"/>
  <c r="F17" i="28" s="1"/>
  <c r="E21" i="30"/>
  <c r="E16" i="30"/>
  <c r="G23" i="20"/>
  <c r="G23" i="28"/>
  <c r="G17" i="28" s="1"/>
  <c r="AU40" i="20"/>
  <c r="T17" i="11"/>
  <c r="T72" i="11" s="1"/>
  <c r="AT40" i="20"/>
  <c r="S17" i="11"/>
  <c r="S72" i="11" s="1"/>
  <c r="AS40" i="20"/>
  <c r="AV59" i="28" s="1"/>
  <c r="S58" i="28" s="1"/>
  <c r="R17" i="11"/>
  <c r="R72" i="11" s="1"/>
  <c r="AR40" i="20"/>
  <c r="AU59" i="28" s="1"/>
  <c r="R137" i="28" s="1"/>
  <c r="Q17" i="11"/>
  <c r="Q72" i="11" s="1"/>
  <c r="P17" i="11"/>
  <c r="P72" i="11" s="1"/>
  <c r="AQ40" i="20"/>
  <c r="AT59" i="28" s="1"/>
  <c r="Q137" i="28" s="1"/>
  <c r="P11" i="11"/>
  <c r="P66" i="11" s="1"/>
  <c r="P64" i="11" s="1"/>
  <c r="AQ34" i="20"/>
  <c r="AQ33" i="20"/>
  <c r="AT52" i="28" s="1"/>
  <c r="Q51" i="28" s="1"/>
  <c r="P10" i="11"/>
  <c r="P65" i="11" s="1"/>
  <c r="O17" i="11"/>
  <c r="O72" i="11" s="1"/>
  <c r="AP40" i="20"/>
  <c r="AP34" i="20"/>
  <c r="O11" i="11"/>
  <c r="O66" i="11" s="1"/>
  <c r="AP33" i="20"/>
  <c r="O10" i="11"/>
  <c r="O65" i="11" s="1"/>
  <c r="N17" i="11"/>
  <c r="N72" i="11" s="1"/>
  <c r="AO40" i="20"/>
  <c r="AO34" i="20"/>
  <c r="N11" i="11"/>
  <c r="N66" i="11" s="1"/>
  <c r="N64" i="11" s="1"/>
  <c r="AO33" i="20"/>
  <c r="N10" i="11"/>
  <c r="N65" i="11" s="1"/>
  <c r="AN40" i="20"/>
  <c r="AQ59" i="28" s="1"/>
  <c r="N137" i="28" s="1"/>
  <c r="M17" i="11"/>
  <c r="AN34" i="20"/>
  <c r="AQ54" i="28" s="1"/>
  <c r="AN33" i="20"/>
  <c r="AQ52" i="28" s="1"/>
  <c r="N51" i="28" s="1"/>
  <c r="M10" i="11"/>
  <c r="L17" i="11"/>
  <c r="AM40" i="20"/>
  <c r="AP59" i="28" s="1"/>
  <c r="M137" i="28" s="1"/>
  <c r="K17" i="11"/>
  <c r="AL40" i="20"/>
  <c r="AO59" i="28" s="1"/>
  <c r="L137" i="28" s="1"/>
  <c r="K11" i="11"/>
  <c r="AL34" i="20"/>
  <c r="AO54" i="28" s="1"/>
  <c r="K10" i="11"/>
  <c r="AL33" i="20"/>
  <c r="AO52" i="28" s="1"/>
  <c r="L51" i="28" s="1"/>
  <c r="J17" i="11"/>
  <c r="AK40" i="20"/>
  <c r="AN59" i="28" s="1"/>
  <c r="J11" i="11"/>
  <c r="AK34" i="20"/>
  <c r="AN54" i="28" s="1"/>
  <c r="AK33" i="20"/>
  <c r="AN52" i="28" s="1"/>
  <c r="K51" i="28" s="1"/>
  <c r="J10" i="11"/>
  <c r="AJ40" i="20"/>
  <c r="AM59" i="28" s="1"/>
  <c r="J137" i="28" s="1"/>
  <c r="I17" i="11"/>
  <c r="AI40" i="20"/>
  <c r="AL59" i="28" s="1"/>
  <c r="I137" i="28" s="1"/>
  <c r="H17" i="11"/>
  <c r="AI34" i="20"/>
  <c r="AL54" i="28" s="1"/>
  <c r="H11" i="11"/>
  <c r="H10" i="11"/>
  <c r="AI33" i="20"/>
  <c r="AL52" i="28" s="1"/>
  <c r="AH40" i="20"/>
  <c r="AK59" i="28" s="1"/>
  <c r="H137" i="28" s="1"/>
  <c r="G17" i="11"/>
  <c r="G11" i="11"/>
  <c r="AH34" i="20"/>
  <c r="AK54" i="28" s="1"/>
  <c r="AH33" i="20"/>
  <c r="AK52" i="28" s="1"/>
  <c r="H51" i="28" s="1"/>
  <c r="G10" i="11"/>
  <c r="F17" i="11"/>
  <c r="AG40" i="20"/>
  <c r="AJ59" i="28" s="1"/>
  <c r="G58" i="28" s="1"/>
  <c r="AG34" i="20"/>
  <c r="AJ54" i="28" s="1"/>
  <c r="F11" i="11"/>
  <c r="F10" i="11"/>
  <c r="AG33" i="20"/>
  <c r="AJ52" i="28" s="1"/>
  <c r="AF40" i="20"/>
  <c r="AI59" i="28" s="1"/>
  <c r="F137" i="28" s="1"/>
  <c r="E17" i="11"/>
  <c r="AI54" i="28"/>
  <c r="E11" i="11"/>
  <c r="E10" i="11"/>
  <c r="AF33" i="20"/>
  <c r="AI52" i="28" s="1"/>
  <c r="F51" i="28" s="1"/>
  <c r="L11" i="11"/>
  <c r="AM34" i="20"/>
  <c r="L10" i="11"/>
  <c r="AM33" i="20"/>
  <c r="AP52" i="28" s="1"/>
  <c r="M51" i="28" s="1"/>
  <c r="J23" i="20"/>
  <c r="J23" i="28"/>
  <c r="J36" i="28" s="1"/>
  <c r="I11" i="11"/>
  <c r="AJ34" i="20"/>
  <c r="AM54" i="28" s="1"/>
  <c r="AJ33" i="20"/>
  <c r="AM52" i="28" s="1"/>
  <c r="J51" i="28" s="1"/>
  <c r="I10" i="11"/>
  <c r="AU34" i="20"/>
  <c r="T11" i="11"/>
  <c r="T66" i="11" s="1"/>
  <c r="AU33" i="20"/>
  <c r="T10" i="11"/>
  <c r="T65" i="11" s="1"/>
  <c r="S11" i="11"/>
  <c r="S66" i="11" s="1"/>
  <c r="AT34" i="20"/>
  <c r="S10" i="11"/>
  <c r="S65" i="11" s="1"/>
  <c r="AT33" i="20"/>
  <c r="AS34" i="20"/>
  <c r="R11" i="11"/>
  <c r="R66" i="11" s="1"/>
  <c r="AS33" i="20"/>
  <c r="AV52" i="28" s="1"/>
  <c r="S51" i="28" s="1"/>
  <c r="R10" i="11"/>
  <c r="R65" i="11" s="1"/>
  <c r="Q11" i="11"/>
  <c r="Q66" i="11" s="1"/>
  <c r="AR34" i="20"/>
  <c r="Q10" i="11"/>
  <c r="Q65" i="11" s="1"/>
  <c r="AR33" i="20"/>
  <c r="AU52" i="28" s="1"/>
  <c r="R51" i="28" s="1"/>
  <c r="T23" i="20"/>
  <c r="T23" i="28"/>
  <c r="S23" i="20"/>
  <c r="S23" i="28"/>
  <c r="AS39" i="20"/>
  <c r="AV58" i="28" s="1"/>
  <c r="S136" i="28" s="1"/>
  <c r="R16" i="11"/>
  <c r="R71" i="11" s="1"/>
  <c r="R64" i="11" s="1"/>
  <c r="S16" i="11"/>
  <c r="S71" i="11" s="1"/>
  <c r="AT39" i="20"/>
  <c r="AU39" i="20"/>
  <c r="T16" i="11"/>
  <c r="T71" i="11" s="1"/>
  <c r="U23" i="28"/>
  <c r="U23" i="20"/>
  <c r="R23" i="28"/>
  <c r="R23" i="20"/>
  <c r="AR39" i="20"/>
  <c r="AU58" i="28" s="1"/>
  <c r="R136" i="28" s="1"/>
  <c r="Q16" i="11"/>
  <c r="Q71" i="11" s="1"/>
  <c r="L16" i="11"/>
  <c r="AM39" i="20"/>
  <c r="AP58" i="28" s="1"/>
  <c r="M136" i="28" s="1"/>
  <c r="F22" i="30"/>
  <c r="F24" i="30"/>
  <c r="F21" i="30"/>
  <c r="F15" i="30"/>
  <c r="E13" i="30"/>
  <c r="D22" i="30"/>
  <c r="E24" i="30"/>
  <c r="E14" i="30"/>
  <c r="C19" i="30"/>
  <c r="O11" i="29"/>
  <c r="N11" i="29"/>
  <c r="M11" i="29"/>
  <c r="L11" i="29"/>
  <c r="K11" i="29"/>
  <c r="S11" i="29"/>
  <c r="R11" i="29"/>
  <c r="Q11" i="29"/>
  <c r="P11" i="29"/>
  <c r="F16" i="30"/>
  <c r="F13" i="30"/>
  <c r="G14" i="30"/>
  <c r="G24" i="30"/>
  <c r="F19" i="30"/>
  <c r="G15" i="30"/>
  <c r="F14" i="30"/>
  <c r="F26" i="30"/>
  <c r="G21" i="30"/>
  <c r="G23" i="30"/>
  <c r="F17" i="30"/>
  <c r="G22" i="30"/>
  <c r="G26" i="30"/>
  <c r="G25" i="30"/>
  <c r="G19" i="30"/>
  <c r="G13" i="30"/>
  <c r="F25" i="30"/>
  <c r="F23" i="30"/>
  <c r="E15" i="30"/>
  <c r="E25" i="30"/>
  <c r="E26" i="30"/>
  <c r="E17" i="30"/>
  <c r="G16" i="30"/>
  <c r="E19" i="30"/>
  <c r="E22" i="30"/>
  <c r="F11" i="29"/>
  <c r="H11" i="29"/>
  <c r="J11" i="29"/>
  <c r="E11" i="29"/>
  <c r="I11" i="29"/>
  <c r="D11" i="29"/>
  <c r="G9" i="29"/>
  <c r="G11" i="29" s="1"/>
  <c r="B173" i="28"/>
  <c r="P146" i="28"/>
  <c r="P151" i="28" s="1"/>
  <c r="E137" i="28"/>
  <c r="E136" i="28"/>
  <c r="C135" i="28"/>
  <c r="B135" i="28"/>
  <c r="E134" i="28"/>
  <c r="E133" i="28"/>
  <c r="E132" i="28"/>
  <c r="E130" i="28"/>
  <c r="S106" i="28"/>
  <c r="R106" i="28"/>
  <c r="S103" i="28"/>
  <c r="R103" i="28"/>
  <c r="Q103" i="28"/>
  <c r="P103" i="28"/>
  <c r="N103" i="28"/>
  <c r="M103" i="28"/>
  <c r="L103" i="28"/>
  <c r="K103" i="28"/>
  <c r="J103" i="28"/>
  <c r="I103" i="28"/>
  <c r="H103" i="28"/>
  <c r="G103" i="28"/>
  <c r="F103" i="28"/>
  <c r="E103" i="28"/>
  <c r="R98" i="28"/>
  <c r="AD83" i="28"/>
  <c r="R82" i="28" s="1"/>
  <c r="R81" i="28"/>
  <c r="N81" i="28"/>
  <c r="L81" i="28"/>
  <c r="S81" i="28"/>
  <c r="Q81" i="28"/>
  <c r="Q121" i="28" s="1"/>
  <c r="P81" i="28"/>
  <c r="P121" i="28" s="1"/>
  <c r="J81" i="28"/>
  <c r="I81" i="28"/>
  <c r="G81" i="28"/>
  <c r="E81" i="28"/>
  <c r="AD81" i="28"/>
  <c r="J80" i="28"/>
  <c r="F79" i="28"/>
  <c r="S79" i="28"/>
  <c r="R79" i="28"/>
  <c r="R119" i="28" s="1"/>
  <c r="Q79" i="28"/>
  <c r="Q119" i="28" s="1"/>
  <c r="P79" i="28"/>
  <c r="P119" i="28" s="1"/>
  <c r="N79" i="28"/>
  <c r="M79" i="28"/>
  <c r="L79" i="28"/>
  <c r="K79" i="28"/>
  <c r="J79" i="28"/>
  <c r="I79" i="28"/>
  <c r="H79" i="28"/>
  <c r="G79" i="28"/>
  <c r="E79" i="28"/>
  <c r="AH79" i="28"/>
  <c r="AD79" i="28"/>
  <c r="H78" i="28" s="1"/>
  <c r="S78" i="28"/>
  <c r="I78" i="28"/>
  <c r="AH78" i="28"/>
  <c r="E98" i="28" s="1"/>
  <c r="M106" i="28"/>
  <c r="S77" i="28"/>
  <c r="P77" i="28"/>
  <c r="P117" i="28" s="1"/>
  <c r="E77" i="28"/>
  <c r="AH77" i="28"/>
  <c r="AD77" i="28"/>
  <c r="G141" i="28"/>
  <c r="AH76" i="28"/>
  <c r="I140" i="28"/>
  <c r="H140" i="28"/>
  <c r="G140" i="28"/>
  <c r="AH75" i="28"/>
  <c r="S74" i="28"/>
  <c r="R74" i="28"/>
  <c r="Q74" i="28"/>
  <c r="P74" i="28"/>
  <c r="S73" i="28"/>
  <c r="N73" i="28"/>
  <c r="M73" i="28"/>
  <c r="L73" i="28"/>
  <c r="K73" i="28"/>
  <c r="R73" i="28"/>
  <c r="Q73" i="28"/>
  <c r="P73" i="28"/>
  <c r="J73" i="28"/>
  <c r="I73" i="28"/>
  <c r="H73" i="28"/>
  <c r="G73" i="28"/>
  <c r="F73" i="28"/>
  <c r="E73" i="28"/>
  <c r="S146" i="28"/>
  <c r="S150" i="28" s="1"/>
  <c r="Q146" i="28"/>
  <c r="Q151" i="28" s="1"/>
  <c r="AH73" i="28"/>
  <c r="E146" i="28" s="1"/>
  <c r="E151" i="28" s="1"/>
  <c r="AS70" i="28"/>
  <c r="AC67" i="28"/>
  <c r="R66" i="28"/>
  <c r="P66" i="28"/>
  <c r="N66" i="28"/>
  <c r="M66" i="28"/>
  <c r="L66" i="28"/>
  <c r="K66" i="28"/>
  <c r="J66" i="28"/>
  <c r="I66" i="28"/>
  <c r="H66" i="28"/>
  <c r="G66" i="28"/>
  <c r="E66" i="28"/>
  <c r="S66" i="28"/>
  <c r="S62" i="28"/>
  <c r="R62" i="28"/>
  <c r="Q62" i="28"/>
  <c r="P62" i="28"/>
  <c r="N62" i="28"/>
  <c r="M62" i="28"/>
  <c r="L62" i="28"/>
  <c r="K62" i="28"/>
  <c r="J62" i="28"/>
  <c r="I62" i="28"/>
  <c r="H62" i="28"/>
  <c r="G62" i="28"/>
  <c r="F62" i="28"/>
  <c r="E62" i="28"/>
  <c r="R61" i="28"/>
  <c r="S61" i="28"/>
  <c r="Q61" i="28"/>
  <c r="P61" i="28"/>
  <c r="N61" i="28"/>
  <c r="M61" i="28"/>
  <c r="L61" i="28"/>
  <c r="K61" i="28"/>
  <c r="J61" i="28"/>
  <c r="I61" i="28"/>
  <c r="H61" i="28"/>
  <c r="G61" i="28"/>
  <c r="F61" i="28"/>
  <c r="E61" i="28"/>
  <c r="P60" i="28"/>
  <c r="I60" i="28"/>
  <c r="G60" i="28"/>
  <c r="F60" i="28"/>
  <c r="S60" i="28"/>
  <c r="R60" i="28"/>
  <c r="Q60" i="28"/>
  <c r="N60" i="28"/>
  <c r="M60" i="28"/>
  <c r="L60" i="28"/>
  <c r="K60" i="28"/>
  <c r="J60" i="28"/>
  <c r="H60" i="28"/>
  <c r="E60" i="28"/>
  <c r="P59" i="28"/>
  <c r="N59" i="28"/>
  <c r="M59" i="28"/>
  <c r="L59" i="28"/>
  <c r="J59" i="28"/>
  <c r="I59" i="28"/>
  <c r="H59" i="28"/>
  <c r="G59" i="28"/>
  <c r="F59" i="28"/>
  <c r="AH60" i="28"/>
  <c r="E59" i="28" s="1"/>
  <c r="S59" i="28"/>
  <c r="R59" i="28"/>
  <c r="Q59" i="28"/>
  <c r="K59" i="28"/>
  <c r="K137" i="28"/>
  <c r="R58" i="28"/>
  <c r="K58" i="28"/>
  <c r="E58" i="28"/>
  <c r="F136" i="28"/>
  <c r="Q57" i="28"/>
  <c r="H57" i="28"/>
  <c r="E57" i="28"/>
  <c r="AD57" i="28"/>
  <c r="Q56" i="28" s="1"/>
  <c r="F134" i="28"/>
  <c r="N55" i="28"/>
  <c r="M55" i="28"/>
  <c r="K55" i="28"/>
  <c r="E55" i="28"/>
  <c r="N54" i="28"/>
  <c r="M54" i="28"/>
  <c r="L54" i="28"/>
  <c r="K54" i="28"/>
  <c r="S54" i="28"/>
  <c r="R54" i="28"/>
  <c r="Q54" i="28"/>
  <c r="P54" i="28"/>
  <c r="J54" i="28"/>
  <c r="I54" i="28"/>
  <c r="H54" i="28"/>
  <c r="G54" i="28"/>
  <c r="F54" i="28"/>
  <c r="E54" i="28"/>
  <c r="F133" i="28"/>
  <c r="F53" i="28"/>
  <c r="E53" i="28"/>
  <c r="F132" i="28"/>
  <c r="F52" i="28"/>
  <c r="E52" i="28"/>
  <c r="I51" i="28"/>
  <c r="G51" i="28"/>
  <c r="E51" i="28"/>
  <c r="AF51" i="28"/>
  <c r="AD51" i="28"/>
  <c r="S48" i="28"/>
  <c r="R48" i="28"/>
  <c r="Q48" i="28"/>
  <c r="P48" i="28"/>
  <c r="O48" i="28"/>
  <c r="N48" i="28"/>
  <c r="M48" i="28"/>
  <c r="L48" i="28"/>
  <c r="K48" i="28"/>
  <c r="J48" i="28"/>
  <c r="I48" i="28"/>
  <c r="H48" i="28"/>
  <c r="G48" i="28"/>
  <c r="F48" i="28"/>
  <c r="S47" i="28"/>
  <c r="R47" i="28"/>
  <c r="Q47" i="28"/>
  <c r="P47" i="28"/>
  <c r="N47" i="28"/>
  <c r="M47" i="28"/>
  <c r="L47" i="28"/>
  <c r="K47" i="28"/>
  <c r="J47" i="28"/>
  <c r="I47" i="28"/>
  <c r="H47" i="28"/>
  <c r="G47" i="28"/>
  <c r="F47" i="28"/>
  <c r="E47" i="28"/>
  <c r="S46" i="28"/>
  <c r="R46" i="28"/>
  <c r="Q46" i="28"/>
  <c r="P46" i="28"/>
  <c r="N46" i="28"/>
  <c r="M46" i="28"/>
  <c r="L46" i="28"/>
  <c r="K46" i="28"/>
  <c r="J46" i="28"/>
  <c r="I46" i="28"/>
  <c r="H46" i="28"/>
  <c r="G46" i="28"/>
  <c r="F46" i="28"/>
  <c r="E46" i="28"/>
  <c r="S45" i="28"/>
  <c r="R45" i="28"/>
  <c r="Q45" i="28"/>
  <c r="P45" i="28"/>
  <c r="N45" i="28"/>
  <c r="M45" i="28"/>
  <c r="L45" i="28"/>
  <c r="K45" i="28"/>
  <c r="J45" i="28"/>
  <c r="I45" i="28"/>
  <c r="H45" i="28"/>
  <c r="G45" i="28"/>
  <c r="F45" i="28"/>
  <c r="E45" i="28"/>
  <c r="S44" i="28"/>
  <c r="R44" i="28"/>
  <c r="Q44" i="28"/>
  <c r="P44" i="28"/>
  <c r="N44" i="28"/>
  <c r="M44" i="28"/>
  <c r="L44" i="28"/>
  <c r="K44" i="28"/>
  <c r="J44" i="28"/>
  <c r="I44" i="28"/>
  <c r="H44" i="28"/>
  <c r="G44" i="28"/>
  <c r="F44" i="28"/>
  <c r="E44" i="28"/>
  <c r="R43" i="28"/>
  <c r="S43" i="28"/>
  <c r="Q43" i="28"/>
  <c r="P43" i="28"/>
  <c r="N43" i="28"/>
  <c r="M43" i="28"/>
  <c r="L43" i="28"/>
  <c r="K43" i="28"/>
  <c r="J43" i="28"/>
  <c r="I43" i="28"/>
  <c r="H43" i="28"/>
  <c r="G43" i="28"/>
  <c r="F43" i="28"/>
  <c r="E43" i="28"/>
  <c r="K42" i="28"/>
  <c r="J42" i="28"/>
  <c r="H42" i="28"/>
  <c r="G42" i="28"/>
  <c r="F42" i="28"/>
  <c r="AH43" i="28"/>
  <c r="E42" i="28" s="1"/>
  <c r="S42" i="28"/>
  <c r="R42" i="28"/>
  <c r="Q42" i="28"/>
  <c r="P42" i="28"/>
  <c r="N42" i="28"/>
  <c r="M42" i="28"/>
  <c r="L42" i="28"/>
  <c r="I42" i="28"/>
  <c r="P36" i="28"/>
  <c r="P35" i="28"/>
  <c r="L35" i="28"/>
  <c r="P34" i="28"/>
  <c r="S33" i="28"/>
  <c r="R33" i="28"/>
  <c r="Q33" i="28"/>
  <c r="P33" i="28"/>
  <c r="AI33" i="28"/>
  <c r="P32" i="28"/>
  <c r="I32" i="28"/>
  <c r="D31" i="28"/>
  <c r="P30" i="28"/>
  <c r="I30" i="28"/>
  <c r="P29" i="28"/>
  <c r="N29" i="28"/>
  <c r="S28" i="28"/>
  <c r="R28" i="28"/>
  <c r="Q28" i="28"/>
  <c r="P28" i="28"/>
  <c r="S27" i="28"/>
  <c r="P27" i="28"/>
  <c r="P26" i="28"/>
  <c r="L26" i="28"/>
  <c r="P25" i="28"/>
  <c r="P24" i="28"/>
  <c r="S32" i="28"/>
  <c r="R27" i="28"/>
  <c r="Q32" i="28"/>
  <c r="N34" i="28"/>
  <c r="M34" i="28"/>
  <c r="L32" i="28"/>
  <c r="K35" i="28"/>
  <c r="I36" i="28"/>
  <c r="E23" i="28"/>
  <c r="E27" i="28" s="1"/>
  <c r="D22" i="28"/>
  <c r="I17" i="28"/>
  <c r="D11" i="28"/>
  <c r="D15" i="28"/>
  <c r="S153" i="28" l="1"/>
  <c r="U151" i="28"/>
  <c r="U150" i="28"/>
  <c r="AP54" i="28"/>
  <c r="M132" i="20"/>
  <c r="N58" i="28"/>
  <c r="AM58" i="28"/>
  <c r="J136" i="28" s="1"/>
  <c r="J136" i="20"/>
  <c r="S137" i="28"/>
  <c r="N41" i="28"/>
  <c r="G56" i="28"/>
  <c r="I97" i="28"/>
  <c r="O97" i="28"/>
  <c r="M82" i="28"/>
  <c r="H56" i="28"/>
  <c r="Q58" i="28"/>
  <c r="N82" i="28"/>
  <c r="L56" i="28"/>
  <c r="N56" i="28"/>
  <c r="E34" i="28"/>
  <c r="P56" i="28"/>
  <c r="R77" i="28"/>
  <c r="S98" i="28"/>
  <c r="O98" i="28"/>
  <c r="S56" i="28"/>
  <c r="E82" i="28"/>
  <c r="Q150" i="28"/>
  <c r="H82" i="28"/>
  <c r="S151" i="28"/>
  <c r="J82" i="28"/>
  <c r="F106" i="28"/>
  <c r="J77" i="28"/>
  <c r="P82" i="28"/>
  <c r="P122" i="28" s="1"/>
  <c r="G106" i="28"/>
  <c r="O139" i="28"/>
  <c r="O151" i="28"/>
  <c r="O150" i="28"/>
  <c r="P150" i="28"/>
  <c r="J56" i="28"/>
  <c r="Q77" i="28"/>
  <c r="Q117" i="28" s="1"/>
  <c r="Q82" i="28"/>
  <c r="Q122" i="28" s="1"/>
  <c r="H106" i="28"/>
  <c r="M56" i="28"/>
  <c r="G137" i="28"/>
  <c r="Q50" i="28"/>
  <c r="O64" i="11"/>
  <c r="T64" i="11"/>
  <c r="O31" i="28"/>
  <c r="G32" i="28"/>
  <c r="G26" i="28"/>
  <c r="G28" i="28"/>
  <c r="J25" i="28"/>
  <c r="J35" i="28"/>
  <c r="S64" i="11"/>
  <c r="S89" i="11" s="1"/>
  <c r="O32" i="28"/>
  <c r="O33" i="28"/>
  <c r="O35" i="28"/>
  <c r="O24" i="28"/>
  <c r="O36" i="28"/>
  <c r="O34" i="28"/>
  <c r="O25" i="28"/>
  <c r="O26" i="28"/>
  <c r="O27" i="28"/>
  <c r="O28" i="28"/>
  <c r="O29" i="28"/>
  <c r="O30" i="28"/>
  <c r="O35" i="20"/>
  <c r="O28" i="20"/>
  <c r="O27" i="20"/>
  <c r="O29" i="20"/>
  <c r="O26" i="20"/>
  <c r="O25" i="20"/>
  <c r="O36" i="20"/>
  <c r="O24" i="20"/>
  <c r="O34" i="20"/>
  <c r="O33" i="20"/>
  <c r="O32" i="20"/>
  <c r="O30" i="20"/>
  <c r="F32" i="28"/>
  <c r="F25" i="28"/>
  <c r="F27" i="28"/>
  <c r="U137" i="20"/>
  <c r="AX59" i="28"/>
  <c r="U58" i="20"/>
  <c r="T58" i="20"/>
  <c r="AW59" i="28"/>
  <c r="T137" i="20"/>
  <c r="Q64" i="11"/>
  <c r="Q52" i="20"/>
  <c r="AT54" i="28"/>
  <c r="P58" i="20"/>
  <c r="AS59" i="28"/>
  <c r="P137" i="28" s="1"/>
  <c r="P52" i="20"/>
  <c r="AS54" i="28"/>
  <c r="P51" i="20"/>
  <c r="AS52" i="28"/>
  <c r="P51" i="28" s="1"/>
  <c r="O137" i="20"/>
  <c r="AR59" i="28"/>
  <c r="O58" i="20"/>
  <c r="N89" i="11"/>
  <c r="N88" i="11"/>
  <c r="N87" i="11"/>
  <c r="N193" i="11" s="1"/>
  <c r="O52" i="20"/>
  <c r="AR54" i="28"/>
  <c r="O132" i="20"/>
  <c r="O51" i="20"/>
  <c r="AR52" i="28"/>
  <c r="O51" i="28" s="1"/>
  <c r="N53" i="28"/>
  <c r="N133" i="28"/>
  <c r="L53" i="28"/>
  <c r="L133" i="28"/>
  <c r="K53" i="28"/>
  <c r="K133" i="28"/>
  <c r="I133" i="28"/>
  <c r="I53" i="28"/>
  <c r="H133" i="28"/>
  <c r="H53" i="28"/>
  <c r="G133" i="28"/>
  <c r="G53" i="28"/>
  <c r="S76" i="28"/>
  <c r="S116" i="28" s="1"/>
  <c r="P80" i="28"/>
  <c r="P120" i="28" s="1"/>
  <c r="U80" i="28"/>
  <c r="T80" i="28"/>
  <c r="O80" i="28"/>
  <c r="S105" i="28"/>
  <c r="T105" i="28"/>
  <c r="U105" i="28"/>
  <c r="U76" i="28"/>
  <c r="O76" i="28"/>
  <c r="T76" i="28"/>
  <c r="T97" i="28"/>
  <c r="U97" i="28"/>
  <c r="P97" i="28"/>
  <c r="J76" i="28"/>
  <c r="S31" i="28"/>
  <c r="P107" i="28"/>
  <c r="T107" i="28"/>
  <c r="U107" i="28"/>
  <c r="T78" i="28"/>
  <c r="U78" i="28"/>
  <c r="U99" i="28"/>
  <c r="T99" i="28"/>
  <c r="U82" i="28"/>
  <c r="O82" i="28"/>
  <c r="T82" i="28"/>
  <c r="D21" i="28"/>
  <c r="F56" i="28"/>
  <c r="U56" i="28"/>
  <c r="T56" i="28"/>
  <c r="O56" i="28"/>
  <c r="R57" i="28"/>
  <c r="G82" i="28"/>
  <c r="E119" i="28"/>
  <c r="G105" i="28"/>
  <c r="AD76" i="28"/>
  <c r="O96" i="28" s="1"/>
  <c r="I105" i="28"/>
  <c r="Q41" i="28"/>
  <c r="P22" i="28"/>
  <c r="E25" i="28"/>
  <c r="I56" i="28"/>
  <c r="Q106" i="28"/>
  <c r="T98" i="28"/>
  <c r="U98" i="28"/>
  <c r="U106" i="28"/>
  <c r="T106" i="28"/>
  <c r="O77" i="28"/>
  <c r="T77" i="28"/>
  <c r="H80" i="28"/>
  <c r="S82" i="28"/>
  <c r="S122" i="28" s="1"/>
  <c r="P105" i="28"/>
  <c r="H31" i="28"/>
  <c r="R50" i="28"/>
  <c r="O50" i="28"/>
  <c r="T50" i="28"/>
  <c r="U50" i="28"/>
  <c r="K56" i="28"/>
  <c r="I80" i="28"/>
  <c r="E106" i="28"/>
  <c r="M135" i="28"/>
  <c r="N135" i="28"/>
  <c r="N131" i="28" s="1"/>
  <c r="Q135" i="28"/>
  <c r="K135" i="28"/>
  <c r="J135" i="28"/>
  <c r="I135" i="28"/>
  <c r="P135" i="28"/>
  <c r="T135" i="28"/>
  <c r="U135" i="28"/>
  <c r="H135" i="28"/>
  <c r="O135" i="28"/>
  <c r="S135" i="28"/>
  <c r="G135" i="28"/>
  <c r="L135" i="28"/>
  <c r="R135" i="28"/>
  <c r="M53" i="28"/>
  <c r="M133" i="28"/>
  <c r="J53" i="28"/>
  <c r="J133" i="28"/>
  <c r="U132" i="20"/>
  <c r="U52" i="20"/>
  <c r="AX54" i="28"/>
  <c r="U51" i="20"/>
  <c r="AX52" i="28"/>
  <c r="U51" i="28" s="1"/>
  <c r="T132" i="20"/>
  <c r="T52" i="20"/>
  <c r="AW54" i="28"/>
  <c r="T51" i="20"/>
  <c r="AW52" i="28"/>
  <c r="T51" i="28" s="1"/>
  <c r="S52" i="20"/>
  <c r="AV54" i="28"/>
  <c r="AU54" i="28"/>
  <c r="R52" i="20"/>
  <c r="T29" i="28"/>
  <c r="T30" i="28"/>
  <c r="T31" i="28"/>
  <c r="T32" i="28"/>
  <c r="T33" i="28"/>
  <c r="T34" i="28"/>
  <c r="T35" i="28"/>
  <c r="T24" i="28"/>
  <c r="T36" i="28"/>
  <c r="T25" i="28"/>
  <c r="T26" i="28"/>
  <c r="T27" i="28"/>
  <c r="T28" i="28"/>
  <c r="T26" i="20"/>
  <c r="T25" i="20"/>
  <c r="T33" i="20"/>
  <c r="T36" i="20"/>
  <c r="T27" i="20"/>
  <c r="T30" i="20"/>
  <c r="T24" i="20"/>
  <c r="T35" i="20"/>
  <c r="T29" i="20"/>
  <c r="T32" i="20"/>
  <c r="T34" i="20"/>
  <c r="T28" i="20"/>
  <c r="T57" i="20"/>
  <c r="AW58" i="28"/>
  <c r="T136" i="20"/>
  <c r="T88" i="11"/>
  <c r="T87" i="11"/>
  <c r="T89" i="11"/>
  <c r="U136" i="20"/>
  <c r="AX58" i="28"/>
  <c r="U57" i="20"/>
  <c r="U26" i="20"/>
  <c r="U33" i="20"/>
  <c r="U36" i="20"/>
  <c r="U35" i="20"/>
  <c r="U27" i="20"/>
  <c r="U30" i="20"/>
  <c r="U29" i="20"/>
  <c r="U25" i="20"/>
  <c r="U24" i="20"/>
  <c r="U34" i="20"/>
  <c r="U28" i="20"/>
  <c r="U32" i="20"/>
  <c r="U24" i="28"/>
  <c r="U30" i="28"/>
  <c r="U36" i="28"/>
  <c r="U25" i="28"/>
  <c r="U31" i="28"/>
  <c r="U26" i="28"/>
  <c r="U32" i="28"/>
  <c r="U28" i="28"/>
  <c r="U35" i="28"/>
  <c r="U27" i="28"/>
  <c r="U33" i="28"/>
  <c r="U34" i="28"/>
  <c r="U29" i="28"/>
  <c r="P114" i="28"/>
  <c r="Q114" i="28"/>
  <c r="E50" i="28"/>
  <c r="E150" i="28"/>
  <c r="P50" i="28"/>
  <c r="E41" i="28"/>
  <c r="F41" i="28"/>
  <c r="P41" i="28"/>
  <c r="G41" i="28"/>
  <c r="H41" i="28"/>
  <c r="I41" i="28"/>
  <c r="J41" i="28"/>
  <c r="L41" i="28"/>
  <c r="K41" i="28"/>
  <c r="M41" i="28"/>
  <c r="S41" i="28"/>
  <c r="R41" i="28"/>
  <c r="L17" i="28"/>
  <c r="G25" i="28"/>
  <c r="L28" i="28"/>
  <c r="G30" i="28"/>
  <c r="H32" i="28"/>
  <c r="G36" i="28"/>
  <c r="H55" i="28"/>
  <c r="K25" i="28"/>
  <c r="G27" i="28"/>
  <c r="L30" i="28"/>
  <c r="J32" i="28"/>
  <c r="F34" i="28"/>
  <c r="K36" i="28"/>
  <c r="J55" i="28"/>
  <c r="I57" i="28"/>
  <c r="K26" i="28"/>
  <c r="L25" i="28"/>
  <c r="H27" i="28"/>
  <c r="I34" i="28"/>
  <c r="L36" i="28"/>
  <c r="K57" i="28"/>
  <c r="K28" i="28"/>
  <c r="I27" i="28"/>
  <c r="G31" i="28"/>
  <c r="K34" i="28"/>
  <c r="L55" i="28"/>
  <c r="F24" i="28"/>
  <c r="E26" i="28"/>
  <c r="L27" i="28"/>
  <c r="E29" i="28"/>
  <c r="F31" i="28"/>
  <c r="E33" i="28"/>
  <c r="L34" i="28"/>
  <c r="G24" i="28"/>
  <c r="F26" i="28"/>
  <c r="F29" i="28"/>
  <c r="I31" i="28"/>
  <c r="F33" i="28"/>
  <c r="I24" i="28"/>
  <c r="H26" i="28"/>
  <c r="I29" i="28"/>
  <c r="J31" i="28"/>
  <c r="G33" i="28"/>
  <c r="L24" i="28"/>
  <c r="I26" i="28"/>
  <c r="E28" i="28"/>
  <c r="K29" i="28"/>
  <c r="K31" i="28"/>
  <c r="L33" i="28"/>
  <c r="G35" i="28"/>
  <c r="J26" i="28"/>
  <c r="F28" i="28"/>
  <c r="L29" i="28"/>
  <c r="L31" i="28"/>
  <c r="I35" i="28"/>
  <c r="J57" i="28"/>
  <c r="G57" i="28"/>
  <c r="H58" i="28"/>
  <c r="L58" i="28"/>
  <c r="M57" i="28"/>
  <c r="F55" i="28"/>
  <c r="N57" i="28"/>
  <c r="F58" i="28"/>
  <c r="F57" i="28"/>
  <c r="L121" i="28"/>
  <c r="G74" i="28"/>
  <c r="I143" i="28"/>
  <c r="H74" i="28"/>
  <c r="K95" i="28"/>
  <c r="K141" i="28"/>
  <c r="K97" i="28"/>
  <c r="L119" i="28"/>
  <c r="L74" i="28"/>
  <c r="L114" i="28" s="1"/>
  <c r="K146" i="28"/>
  <c r="I77" i="28"/>
  <c r="G95" i="28"/>
  <c r="L146" i="28"/>
  <c r="G75" i="28"/>
  <c r="S57" i="28"/>
  <c r="N24" i="28"/>
  <c r="Q29" i="28"/>
  <c r="N30" i="28"/>
  <c r="Q34" i="28"/>
  <c r="N35" i="28"/>
  <c r="S50" i="28"/>
  <c r="K98" i="28"/>
  <c r="S119" i="28"/>
  <c r="E95" i="28"/>
  <c r="E74" i="28"/>
  <c r="E114" i="28" s="1"/>
  <c r="G143" i="28"/>
  <c r="G77" i="28"/>
  <c r="S118" i="28"/>
  <c r="G98" i="28"/>
  <c r="J17" i="28"/>
  <c r="Q24" i="28"/>
  <c r="N25" i="28"/>
  <c r="J27" i="28"/>
  <c r="H28" i="28"/>
  <c r="S29" i="28"/>
  <c r="Q30" i="28"/>
  <c r="M31" i="28"/>
  <c r="K32" i="28"/>
  <c r="H33" i="28"/>
  <c r="S34" i="28"/>
  <c r="Q35" i="28"/>
  <c r="N36" i="28"/>
  <c r="S114" i="28"/>
  <c r="E117" i="28"/>
  <c r="H143" i="28"/>
  <c r="H98" i="28"/>
  <c r="N107" i="28"/>
  <c r="R78" i="28"/>
  <c r="R118" i="28" s="1"/>
  <c r="E78" i="28"/>
  <c r="E118" i="28" s="1"/>
  <c r="M107" i="28"/>
  <c r="Q78" i="28"/>
  <c r="Q118" i="28" s="1"/>
  <c r="L107" i="28"/>
  <c r="P78" i="28"/>
  <c r="P118" i="28" s="1"/>
  <c r="K107" i="28"/>
  <c r="J107" i="28"/>
  <c r="J99" i="28"/>
  <c r="I107" i="28"/>
  <c r="I99" i="28"/>
  <c r="H107" i="28"/>
  <c r="H99" i="28"/>
  <c r="G107" i="28"/>
  <c r="G99" i="28"/>
  <c r="J78" i="28"/>
  <c r="S107" i="28"/>
  <c r="F107" i="28"/>
  <c r="S99" i="28"/>
  <c r="R107" i="28"/>
  <c r="E107" i="28"/>
  <c r="Q107" i="28"/>
  <c r="Q99" i="28"/>
  <c r="S80" i="28"/>
  <c r="S120" i="28" s="1"/>
  <c r="R80" i="28"/>
  <c r="R120" i="28" s="1"/>
  <c r="E80" i="28"/>
  <c r="E120" i="28" s="1"/>
  <c r="Q80" i="28"/>
  <c r="Q120" i="28" s="1"/>
  <c r="N80" i="28"/>
  <c r="M80" i="28"/>
  <c r="L80" i="28"/>
  <c r="L120" i="28" s="1"/>
  <c r="K80" i="28"/>
  <c r="K120" i="28" s="1"/>
  <c r="R29" i="28"/>
  <c r="R34" i="28"/>
  <c r="K17" i="28"/>
  <c r="E24" i="28"/>
  <c r="E22" i="28" s="1"/>
  <c r="E21" i="28" s="1"/>
  <c r="R24" i="28"/>
  <c r="M26" i="28"/>
  <c r="K27" i="28"/>
  <c r="I28" i="28"/>
  <c r="G29" i="28"/>
  <c r="E30" i="28"/>
  <c r="R30" i="28"/>
  <c r="N31" i="28"/>
  <c r="I33" i="28"/>
  <c r="G34" i="28"/>
  <c r="E35" i="28"/>
  <c r="R35" i="28"/>
  <c r="I58" i="28"/>
  <c r="H104" i="28"/>
  <c r="H96" i="28"/>
  <c r="J75" i="28"/>
  <c r="G104" i="28"/>
  <c r="G96" i="28"/>
  <c r="I75" i="28"/>
  <c r="S104" i="28"/>
  <c r="F104" i="28"/>
  <c r="S96" i="28"/>
  <c r="H75" i="28"/>
  <c r="R104" i="28"/>
  <c r="E104" i="28"/>
  <c r="Q104" i="28"/>
  <c r="Q96" i="28"/>
  <c r="S75" i="28"/>
  <c r="S115" i="28" s="1"/>
  <c r="P104" i="28"/>
  <c r="P96" i="28"/>
  <c r="R75" i="28"/>
  <c r="R115" i="28" s="1"/>
  <c r="E75" i="28"/>
  <c r="E115" i="28" s="1"/>
  <c r="N104" i="28"/>
  <c r="Q75" i="28"/>
  <c r="Q115" i="28" s="1"/>
  <c r="M104" i="28"/>
  <c r="P75" i="28"/>
  <c r="P115" i="28" s="1"/>
  <c r="L104" i="28"/>
  <c r="L96" i="28"/>
  <c r="K104" i="28"/>
  <c r="J104" i="28"/>
  <c r="J96" i="28"/>
  <c r="S121" i="28"/>
  <c r="R122" i="28"/>
  <c r="M36" i="28"/>
  <c r="S24" i="28"/>
  <c r="Q25" i="28"/>
  <c r="N26" i="28"/>
  <c r="J28" i="28"/>
  <c r="H29" i="28"/>
  <c r="F30" i="28"/>
  <c r="S30" i="28"/>
  <c r="P31" i="28"/>
  <c r="M32" i="28"/>
  <c r="J33" i="28"/>
  <c r="H34" i="28"/>
  <c r="F35" i="28"/>
  <c r="S35" i="28"/>
  <c r="Q36" i="28"/>
  <c r="L57" i="28"/>
  <c r="J58" i="28"/>
  <c r="M146" i="28"/>
  <c r="K81" i="28"/>
  <c r="R146" i="28"/>
  <c r="M30" i="28"/>
  <c r="M17" i="28"/>
  <c r="R25" i="28"/>
  <c r="M27" i="28"/>
  <c r="Q31" i="28"/>
  <c r="N32" i="28"/>
  <c r="K33" i="28"/>
  <c r="E36" i="28"/>
  <c r="R36" i="28"/>
  <c r="N146" i="28"/>
  <c r="I95" i="28"/>
  <c r="I74" i="28"/>
  <c r="N77" i="28"/>
  <c r="N143" i="28"/>
  <c r="K119" i="28"/>
  <c r="K82" i="28"/>
  <c r="E96" i="28"/>
  <c r="E99" i="28"/>
  <c r="H142" i="28"/>
  <c r="M24" i="28"/>
  <c r="N142" i="28"/>
  <c r="I142" i="28"/>
  <c r="M25" i="28"/>
  <c r="N17" i="28"/>
  <c r="H24" i="28"/>
  <c r="S25" i="28"/>
  <c r="Q26" i="28"/>
  <c r="N27" i="28"/>
  <c r="J29" i="28"/>
  <c r="H30" i="28"/>
  <c r="E31" i="28"/>
  <c r="R31" i="28"/>
  <c r="J34" i="28"/>
  <c r="H35" i="28"/>
  <c r="F36" i="28"/>
  <c r="S36" i="28"/>
  <c r="E56" i="28"/>
  <c r="R56" i="28"/>
  <c r="J95" i="28"/>
  <c r="J74" i="28"/>
  <c r="M81" i="28"/>
  <c r="M121" i="28" s="1"/>
  <c r="H81" i="28"/>
  <c r="I96" i="28"/>
  <c r="R26" i="28"/>
  <c r="M28" i="28"/>
  <c r="M33" i="28"/>
  <c r="G55" i="28"/>
  <c r="P57" i="28"/>
  <c r="M58" i="28"/>
  <c r="H141" i="28"/>
  <c r="M96" i="28"/>
  <c r="M119" i="28"/>
  <c r="K96" i="28"/>
  <c r="P99" i="28"/>
  <c r="M35" i="28"/>
  <c r="J24" i="28"/>
  <c r="H25" i="28"/>
  <c r="S26" i="28"/>
  <c r="Q27" i="28"/>
  <c r="N28" i="28"/>
  <c r="J30" i="28"/>
  <c r="E32" i="28"/>
  <c r="R32" i="28"/>
  <c r="N33" i="28"/>
  <c r="H36" i="28"/>
  <c r="N50" i="28"/>
  <c r="Q66" i="28"/>
  <c r="R114" i="28"/>
  <c r="L140" i="28"/>
  <c r="L95" i="28"/>
  <c r="I141" i="28"/>
  <c r="R117" i="28"/>
  <c r="R121" i="28"/>
  <c r="R99" i="28"/>
  <c r="K24" i="28"/>
  <c r="I25" i="28"/>
  <c r="M29" i="28"/>
  <c r="K30" i="28"/>
  <c r="I55" i="28"/>
  <c r="P58" i="28"/>
  <c r="G76" i="28"/>
  <c r="G142" i="28"/>
  <c r="S117" i="28"/>
  <c r="G78" i="28"/>
  <c r="G80" i="28"/>
  <c r="E121" i="28"/>
  <c r="E122" i="28"/>
  <c r="G97" i="28"/>
  <c r="I82" i="28"/>
  <c r="H97" i="28"/>
  <c r="H105" i="28"/>
  <c r="J97" i="28"/>
  <c r="J105" i="28"/>
  <c r="E135" i="28"/>
  <c r="E131" i="28" s="1"/>
  <c r="E152" i="28" s="1"/>
  <c r="N76" i="28"/>
  <c r="N116" i="28" s="1"/>
  <c r="I98" i="28"/>
  <c r="K105" i="28"/>
  <c r="I106" i="28"/>
  <c r="F135" i="28"/>
  <c r="P76" i="28"/>
  <c r="P116" i="28" s="1"/>
  <c r="L82" i="28"/>
  <c r="L122" i="28" s="1"/>
  <c r="L97" i="28"/>
  <c r="J98" i="28"/>
  <c r="L105" i="28"/>
  <c r="J106" i="28"/>
  <c r="Q76" i="28"/>
  <c r="Q116" i="28" s="1"/>
  <c r="M97" i="28"/>
  <c r="M105" i="28"/>
  <c r="K106" i="28"/>
  <c r="E76" i="28"/>
  <c r="E116" i="28" s="1"/>
  <c r="R76" i="28"/>
  <c r="R116" i="28" s="1"/>
  <c r="N97" i="28"/>
  <c r="L98" i="28"/>
  <c r="N105" i="28"/>
  <c r="L106" i="28"/>
  <c r="H95" i="28"/>
  <c r="Q97" i="28"/>
  <c r="N98" i="28"/>
  <c r="Q105" i="28"/>
  <c r="N106" i="28"/>
  <c r="H76" i="28"/>
  <c r="E97" i="28"/>
  <c r="R97" i="28"/>
  <c r="P98" i="28"/>
  <c r="E105" i="28"/>
  <c r="R105" i="28"/>
  <c r="P106" i="28"/>
  <c r="I76" i="28"/>
  <c r="H77" i="28"/>
  <c r="S97" i="28"/>
  <c r="Q98" i="28"/>
  <c r="F105" i="28"/>
  <c r="E49" i="28" l="1"/>
  <c r="H139" i="28"/>
  <c r="G139" i="28"/>
  <c r="I139" i="28"/>
  <c r="R151" i="28"/>
  <c r="R150" i="28"/>
  <c r="G131" i="28"/>
  <c r="R153" i="28"/>
  <c r="E40" i="28"/>
  <c r="I131" i="28"/>
  <c r="S87" i="11"/>
  <c r="S88" i="11"/>
  <c r="K131" i="28"/>
  <c r="L131" i="28"/>
  <c r="J131" i="28"/>
  <c r="H131" i="28"/>
  <c r="N49" i="28"/>
  <c r="N40" i="28" s="1"/>
  <c r="O22" i="20"/>
  <c r="O22" i="28"/>
  <c r="O21" i="28" s="1"/>
  <c r="U58" i="28"/>
  <c r="U137" i="28"/>
  <c r="T58" i="28"/>
  <c r="T137" i="28"/>
  <c r="Q53" i="28"/>
  <c r="Q49" i="28" s="1"/>
  <c r="Q40" i="28" s="1"/>
  <c r="Q133" i="28"/>
  <c r="Q131" i="28" s="1"/>
  <c r="P53" i="28"/>
  <c r="P49" i="28" s="1"/>
  <c r="P40" i="28" s="1"/>
  <c r="P133" i="28"/>
  <c r="P131" i="28" s="1"/>
  <c r="O58" i="28"/>
  <c r="O137" i="28"/>
  <c r="O53" i="28"/>
  <c r="O133" i="28"/>
  <c r="O131" i="28" s="1"/>
  <c r="AJ64" i="28"/>
  <c r="G69" i="28" s="1"/>
  <c r="K22" i="28"/>
  <c r="K21" i="28" s="1"/>
  <c r="K87" i="28" s="1"/>
  <c r="I104" i="28"/>
  <c r="T104" i="28"/>
  <c r="U104" i="28"/>
  <c r="T75" i="28"/>
  <c r="O75" i="28"/>
  <c r="U96" i="28"/>
  <c r="T96" i="28"/>
  <c r="U75" i="28"/>
  <c r="R96" i="28"/>
  <c r="J22" i="28"/>
  <c r="J21" i="28" s="1"/>
  <c r="J87" i="28" s="1"/>
  <c r="P21" i="28"/>
  <c r="P88" i="28" s="1"/>
  <c r="M131" i="28"/>
  <c r="F131" i="28"/>
  <c r="U22" i="20"/>
  <c r="T193" i="11"/>
  <c r="U53" i="28"/>
  <c r="U133" i="28"/>
  <c r="T133" i="28"/>
  <c r="T53" i="28"/>
  <c r="S193" i="11"/>
  <c r="S133" i="28"/>
  <c r="S131" i="28" s="1"/>
  <c r="S152" i="28" s="1"/>
  <c r="S154" i="28" s="1"/>
  <c r="S53" i="28"/>
  <c r="S49" i="28" s="1"/>
  <c r="S40" i="28" s="1"/>
  <c r="R133" i="28"/>
  <c r="R131" i="28" s="1"/>
  <c r="R53" i="28"/>
  <c r="R49" i="28" s="1"/>
  <c r="R40" i="28" s="1"/>
  <c r="T22" i="20"/>
  <c r="T22" i="28"/>
  <c r="T21" i="28" s="1"/>
  <c r="T136" i="28"/>
  <c r="T57" i="28"/>
  <c r="U57" i="28"/>
  <c r="U136" i="28"/>
  <c r="U22" i="28"/>
  <c r="U21" i="28" s="1"/>
  <c r="R22" i="28"/>
  <c r="R21" i="28" s="1"/>
  <c r="R88" i="28" s="1"/>
  <c r="E154" i="28"/>
  <c r="L22" i="28"/>
  <c r="L21" i="28" s="1"/>
  <c r="H22" i="28"/>
  <c r="H21" i="28" s="1"/>
  <c r="H37" i="28" s="1"/>
  <c r="H65" i="28" s="1"/>
  <c r="G22" i="28"/>
  <c r="G21" i="28" s="1"/>
  <c r="G87" i="28" s="1"/>
  <c r="I22" i="28"/>
  <c r="I21" i="28" s="1"/>
  <c r="I88" i="28" s="1"/>
  <c r="M22" i="28"/>
  <c r="M21" i="28" s="1"/>
  <c r="M88" i="28" s="1"/>
  <c r="N22" i="28"/>
  <c r="N21" i="28" s="1"/>
  <c r="N87" i="28" s="1"/>
  <c r="F22" i="28"/>
  <c r="F21" i="28" s="1"/>
  <c r="F37" i="28" s="1"/>
  <c r="F65" i="28" s="1"/>
  <c r="F67" i="28" s="1"/>
  <c r="F68" i="28" s="1"/>
  <c r="K75" i="28"/>
  <c r="K115" i="28" s="1"/>
  <c r="M140" i="28"/>
  <c r="M95" i="28"/>
  <c r="M74" i="28"/>
  <c r="M114" i="28" s="1"/>
  <c r="L141" i="28"/>
  <c r="L75" i="28"/>
  <c r="L115" i="28" s="1"/>
  <c r="K142" i="28"/>
  <c r="K76" i="28"/>
  <c r="K116" i="28" s="1"/>
  <c r="K122" i="28"/>
  <c r="M120" i="28"/>
  <c r="M122" i="28"/>
  <c r="K121" i="28"/>
  <c r="K140" i="28"/>
  <c r="K74" i="28"/>
  <c r="K114" i="28" s="1"/>
  <c r="E147" i="28"/>
  <c r="N120" i="28"/>
  <c r="N119" i="28"/>
  <c r="M77" i="28"/>
  <c r="M117" i="28" s="1"/>
  <c r="M143" i="28"/>
  <c r="M98" i="28"/>
  <c r="J37" i="28"/>
  <c r="J65" i="28" s="1"/>
  <c r="K143" i="28"/>
  <c r="K77" i="28"/>
  <c r="K117" i="28" s="1"/>
  <c r="S22" i="28"/>
  <c r="S21" i="28" s="1"/>
  <c r="L143" i="28"/>
  <c r="L77" i="28"/>
  <c r="L117" i="28" s="1"/>
  <c r="N122" i="28"/>
  <c r="N141" i="28"/>
  <c r="N75" i="28"/>
  <c r="N115" i="28" s="1"/>
  <c r="N117" i="28"/>
  <c r="L142" i="28"/>
  <c r="L76" i="28"/>
  <c r="L116" i="28" s="1"/>
  <c r="N121" i="28"/>
  <c r="N140" i="28"/>
  <c r="N147" i="28" s="1"/>
  <c r="N95" i="28"/>
  <c r="N74" i="28"/>
  <c r="N114" i="28" s="1"/>
  <c r="Q22" i="28"/>
  <c r="Q21" i="28" s="1"/>
  <c r="E88" i="28"/>
  <c r="E87" i="28"/>
  <c r="E37" i="28"/>
  <c r="E65" i="28" s="1"/>
  <c r="N96" i="28"/>
  <c r="M141" i="28"/>
  <c r="M75" i="28"/>
  <c r="M115" i="28" s="1"/>
  <c r="M142" i="28"/>
  <c r="M76" i="28"/>
  <c r="M116" i="28" s="1"/>
  <c r="L151" i="28" l="1"/>
  <c r="L139" i="28"/>
  <c r="Q147" i="28"/>
  <c r="Q152" i="28"/>
  <c r="L147" i="28"/>
  <c r="L152" i="28"/>
  <c r="K152" i="28"/>
  <c r="M139" i="28"/>
  <c r="M151" i="28"/>
  <c r="M150" i="28"/>
  <c r="L150" i="28"/>
  <c r="L154" i="28" s="1"/>
  <c r="M147" i="28"/>
  <c r="M152" i="28"/>
  <c r="R152" i="28"/>
  <c r="R154" i="28" s="1"/>
  <c r="R147" i="28"/>
  <c r="O147" i="28"/>
  <c r="O152" i="28"/>
  <c r="P147" i="28"/>
  <c r="P152" i="28"/>
  <c r="P154" i="28" s="1"/>
  <c r="N139" i="28"/>
  <c r="N151" i="28"/>
  <c r="N150" i="28"/>
  <c r="AL64" i="28"/>
  <c r="I69" i="28" s="1"/>
  <c r="K139" i="28"/>
  <c r="K151" i="28"/>
  <c r="K150" i="28"/>
  <c r="G88" i="28"/>
  <c r="N152" i="28"/>
  <c r="AK64" i="28"/>
  <c r="H69" i="28" s="1"/>
  <c r="K147" i="28"/>
  <c r="AM64" i="28"/>
  <c r="J69" i="28" s="1"/>
  <c r="AV64" i="28"/>
  <c r="S69" i="28" s="1"/>
  <c r="S147" i="28"/>
  <c r="AU64" i="28"/>
  <c r="R69" i="28" s="1"/>
  <c r="AQ64" i="28"/>
  <c r="N69" i="28" s="1"/>
  <c r="AN64" i="28"/>
  <c r="K69" i="28" s="1"/>
  <c r="AO64" i="28"/>
  <c r="L69" i="28" s="1"/>
  <c r="AP64" i="28"/>
  <c r="M69" i="28" s="1"/>
  <c r="O49" i="28"/>
  <c r="O40" i="28" s="1"/>
  <c r="K37" i="28"/>
  <c r="K65" i="28" s="1"/>
  <c r="K88" i="28"/>
  <c r="P37" i="28"/>
  <c r="P65" i="28" s="1"/>
  <c r="H87" i="28"/>
  <c r="H88" i="28"/>
  <c r="I87" i="28"/>
  <c r="I37" i="28"/>
  <c r="I65" i="28" s="1"/>
  <c r="I67" i="28" s="1"/>
  <c r="I68" i="28" s="1"/>
  <c r="P87" i="28"/>
  <c r="J88" i="28"/>
  <c r="O37" i="28"/>
  <c r="O65" i="28" s="1"/>
  <c r="O88" i="28"/>
  <c r="O87" i="28"/>
  <c r="F88" i="28"/>
  <c r="F87" i="28"/>
  <c r="G37" i="28"/>
  <c r="G65" i="28" s="1"/>
  <c r="G67" i="28" s="1"/>
  <c r="G68" i="28" s="1"/>
  <c r="AT64" i="28"/>
  <c r="Q69" i="28" s="1"/>
  <c r="Q154" i="28"/>
  <c r="AS64" i="28"/>
  <c r="P69" i="28" s="1"/>
  <c r="AR64" i="28"/>
  <c r="O69" i="28" s="1"/>
  <c r="O154" i="28"/>
  <c r="N37" i="28"/>
  <c r="N65" i="28" s="1"/>
  <c r="N88" i="28"/>
  <c r="M37" i="28"/>
  <c r="M65" i="28" s="1"/>
  <c r="M67" i="28" s="1"/>
  <c r="M68" i="28" s="1"/>
  <c r="M63" i="28" s="1"/>
  <c r="M87" i="28"/>
  <c r="T131" i="28"/>
  <c r="T152" i="28" s="1"/>
  <c r="T154" i="28" s="1"/>
  <c r="U131" i="28"/>
  <c r="U152" i="28" s="1"/>
  <c r="U154" i="28" s="1"/>
  <c r="U49" i="28"/>
  <c r="U40" i="28" s="1"/>
  <c r="T49" i="28"/>
  <c r="T40" i="28" s="1"/>
  <c r="R87" i="28"/>
  <c r="R37" i="28"/>
  <c r="R65" i="28" s="1"/>
  <c r="R67" i="28" s="1"/>
  <c r="R68" i="28" s="1"/>
  <c r="T37" i="28"/>
  <c r="T65" i="28" s="1"/>
  <c r="T87" i="28"/>
  <c r="T88" i="28"/>
  <c r="U37" i="28"/>
  <c r="U65" i="28" s="1"/>
  <c r="U87" i="28"/>
  <c r="U88" i="28"/>
  <c r="L88" i="28"/>
  <c r="L87" i="28"/>
  <c r="L37" i="28"/>
  <c r="L65" i="28" s="1"/>
  <c r="L67" i="28" s="1"/>
  <c r="F63" i="28"/>
  <c r="P67" i="28"/>
  <c r="P68" i="28" s="1"/>
  <c r="Q88" i="28"/>
  <c r="Q87" i="28"/>
  <c r="Q37" i="28"/>
  <c r="Q65" i="28" s="1"/>
  <c r="K67" i="28"/>
  <c r="H67" i="28"/>
  <c r="H68" i="28" s="1"/>
  <c r="H63" i="28" s="1"/>
  <c r="S87" i="28"/>
  <c r="S37" i="28"/>
  <c r="S65" i="28" s="1"/>
  <c r="S88" i="28"/>
  <c r="J67" i="28"/>
  <c r="J68" i="28" s="1"/>
  <c r="J63" i="28" s="1"/>
  <c r="E68" i="28"/>
  <c r="E63" i="28" s="1"/>
  <c r="E39" i="28" s="1"/>
  <c r="E67" i="28"/>
  <c r="N154" i="28" l="1"/>
  <c r="K154" i="28"/>
  <c r="AW64" i="28"/>
  <c r="T69" i="28" s="1"/>
  <c r="T147" i="28"/>
  <c r="AX64" i="28"/>
  <c r="U69" i="28" s="1"/>
  <c r="U147" i="28"/>
  <c r="M154" i="28"/>
  <c r="O67" i="28"/>
  <c r="O68" i="28" s="1"/>
  <c r="O63" i="28" s="1"/>
  <c r="O39" i="28" s="1"/>
  <c r="N67" i="28"/>
  <c r="N68" i="28" s="1"/>
  <c r="U67" i="28"/>
  <c r="U68" i="28" s="1"/>
  <c r="U63" i="28" s="1"/>
  <c r="U39" i="28" s="1"/>
  <c r="T67" i="28"/>
  <c r="T68" i="28" s="1"/>
  <c r="T63" i="28" s="1"/>
  <c r="T39" i="28" s="1"/>
  <c r="L68" i="28"/>
  <c r="L63" i="28" s="1"/>
  <c r="S67" i="28"/>
  <c r="S68" i="28" s="1"/>
  <c r="S63" i="28" s="1"/>
  <c r="S39" i="28" s="1"/>
  <c r="P63" i="28"/>
  <c r="I63" i="28"/>
  <c r="E71" i="28"/>
  <c r="E72" i="28" s="1"/>
  <c r="E83" i="28" s="1"/>
  <c r="E92" i="28"/>
  <c r="E86" i="28" s="1"/>
  <c r="R63" i="28"/>
  <c r="R39" i="28" s="1"/>
  <c r="K68" i="28"/>
  <c r="K63" i="28" s="1"/>
  <c r="Q67" i="28"/>
  <c r="Q68" i="28" s="1"/>
  <c r="Q63" i="28" s="1"/>
  <c r="Q39" i="28" s="1"/>
  <c r="G63" i="28"/>
  <c r="U92" i="28" l="1"/>
  <c r="U86" i="28" s="1"/>
  <c r="U93" i="28" s="1"/>
  <c r="U94" i="28" s="1"/>
  <c r="U102" i="28" s="1"/>
  <c r="U71" i="28"/>
  <c r="U72" i="28" s="1"/>
  <c r="U83" i="28" s="1"/>
  <c r="Y83" i="28" s="1"/>
  <c r="P39" i="28"/>
  <c r="P71" i="28" s="1"/>
  <c r="P72" i="28" s="1"/>
  <c r="P83" i="28" s="1"/>
  <c r="O92" i="28"/>
  <c r="O86" i="28" s="1"/>
  <c r="O71" i="28"/>
  <c r="N63" i="28"/>
  <c r="N39" i="28" s="1"/>
  <c r="N92" i="28" s="1"/>
  <c r="N86" i="28" s="1"/>
  <c r="T92" i="28"/>
  <c r="T86" i="28" s="1"/>
  <c r="T93" i="28" s="1"/>
  <c r="T94" i="28" s="1"/>
  <c r="T102" i="28" s="1"/>
  <c r="T71" i="28"/>
  <c r="T72" i="28" s="1"/>
  <c r="T83" i="28" s="1"/>
  <c r="P92" i="28"/>
  <c r="P86" i="28" s="1"/>
  <c r="P93" i="28" s="1"/>
  <c r="S92" i="28"/>
  <c r="S86" i="28" s="1"/>
  <c r="S93" i="28" s="1"/>
  <c r="S71" i="28"/>
  <c r="S72" i="28" s="1"/>
  <c r="S83" i="28" s="1"/>
  <c r="E113" i="28"/>
  <c r="E112" i="28"/>
  <c r="E123" i="28"/>
  <c r="E125" i="28" s="1"/>
  <c r="E111" i="28"/>
  <c r="E110" i="28"/>
  <c r="Q71" i="28"/>
  <c r="Q72" i="28" s="1"/>
  <c r="Q83" i="28" s="1"/>
  <c r="Q92" i="28"/>
  <c r="Q86" i="28" s="1"/>
  <c r="R71" i="28"/>
  <c r="R72" i="28" s="1"/>
  <c r="R83" i="28" s="1"/>
  <c r="R92" i="28"/>
  <c r="R86" i="28" s="1"/>
  <c r="E91" i="28"/>
  <c r="E93" i="28"/>
  <c r="E94" i="28" s="1"/>
  <c r="E102" i="28" s="1"/>
  <c r="U91" i="28" l="1"/>
  <c r="U89" i="28" s="1"/>
  <c r="U90" i="28" s="1"/>
  <c r="T91" i="28"/>
  <c r="T89" i="28" s="1"/>
  <c r="T90" i="28" s="1"/>
  <c r="P110" i="28"/>
  <c r="P113" i="28"/>
  <c r="AV93" i="28"/>
  <c r="P123" i="28"/>
  <c r="P125" i="28" s="1"/>
  <c r="P112" i="28"/>
  <c r="P111" i="28"/>
  <c r="P91" i="28"/>
  <c r="P89" i="28" s="1"/>
  <c r="P90" i="28" s="1"/>
  <c r="O93" i="28"/>
  <c r="O91" i="28"/>
  <c r="O89" i="28" s="1"/>
  <c r="O90" i="28" s="1"/>
  <c r="N71" i="28"/>
  <c r="N91" i="28"/>
  <c r="N89" i="28" s="1"/>
  <c r="N90" i="28" s="1"/>
  <c r="N93" i="28"/>
  <c r="S91" i="28"/>
  <c r="S89" i="28" s="1"/>
  <c r="S90" i="28" s="1"/>
  <c r="S94" i="28"/>
  <c r="S102" i="28" s="1"/>
  <c r="P94" i="28"/>
  <c r="P102" i="28" s="1"/>
  <c r="S112" i="28"/>
  <c r="S123" i="28"/>
  <c r="S125" i="28" s="1"/>
  <c r="AY93" i="28"/>
  <c r="S110" i="28"/>
  <c r="S111" i="28"/>
  <c r="S113" i="28"/>
  <c r="Q93" i="28"/>
  <c r="Q91" i="28"/>
  <c r="E89" i="28"/>
  <c r="E90" i="28" s="1"/>
  <c r="R91" i="28"/>
  <c r="R93" i="28"/>
  <c r="E124" i="28"/>
  <c r="AW93" i="28"/>
  <c r="Q113" i="28"/>
  <c r="Q112" i="28"/>
  <c r="Q123" i="28"/>
  <c r="Q125" i="28" s="1"/>
  <c r="Q111" i="28"/>
  <c r="Q110" i="28"/>
  <c r="R113" i="28"/>
  <c r="R112" i="28"/>
  <c r="R123" i="28"/>
  <c r="R125" i="28" s="1"/>
  <c r="R111" i="28"/>
  <c r="R110" i="28"/>
  <c r="AX93" i="28"/>
  <c r="P124" i="28" l="1"/>
  <c r="R94" i="28"/>
  <c r="R102" i="28" s="1"/>
  <c r="Q94" i="28"/>
  <c r="Q102" i="28" s="1"/>
  <c r="S124" i="28"/>
  <c r="R124" i="28"/>
  <c r="Q124" i="28"/>
  <c r="R89" i="28"/>
  <c r="R90" i="28" s="1"/>
  <c r="Q89" i="28"/>
  <c r="Q90" i="28" s="1"/>
  <c r="F132" i="20" l="1"/>
  <c r="G132" i="20"/>
  <c r="H132" i="20"/>
  <c r="I132" i="20"/>
  <c r="S48" i="20"/>
  <c r="G48" i="20"/>
  <c r="H48" i="20"/>
  <c r="I48" i="20"/>
  <c r="J48" i="20"/>
  <c r="K48" i="20"/>
  <c r="L48" i="20"/>
  <c r="M48" i="20"/>
  <c r="N48" i="20"/>
  <c r="O48" i="20"/>
  <c r="P48" i="20"/>
  <c r="Q48" i="20"/>
  <c r="R48" i="20"/>
  <c r="F48" i="20"/>
  <c r="AF62" i="20" l="1"/>
  <c r="AI81" i="28" s="1"/>
  <c r="F80" i="28" s="1"/>
  <c r="AF63" i="20"/>
  <c r="AI82" i="28" s="1"/>
  <c r="F81" i="28" s="1"/>
  <c r="AF64" i="20"/>
  <c r="AI83" i="28" s="1"/>
  <c r="F82" i="28" s="1"/>
  <c r="N137" i="20" l="1"/>
  <c r="M137" i="20"/>
  <c r="L137" i="20"/>
  <c r="N132" i="20"/>
  <c r="L132" i="20"/>
  <c r="K132" i="20"/>
  <c r="K72" i="11"/>
  <c r="L72" i="11"/>
  <c r="M72" i="11"/>
  <c r="K68" i="11"/>
  <c r="L68" i="11"/>
  <c r="M68" i="11"/>
  <c r="J68" i="11"/>
  <c r="K66" i="11"/>
  <c r="L66" i="11"/>
  <c r="M66" i="11"/>
  <c r="J66" i="11"/>
  <c r="K62" i="11"/>
  <c r="L62" i="11"/>
  <c r="M62" i="11"/>
  <c r="M60" i="11" s="1"/>
  <c r="J62" i="11"/>
  <c r="K61" i="11"/>
  <c r="L61" i="11"/>
  <c r="M61" i="11"/>
  <c r="J61" i="11"/>
  <c r="N60" i="11"/>
  <c r="M53" i="11"/>
  <c r="L53" i="11"/>
  <c r="K53" i="11"/>
  <c r="J53" i="11"/>
  <c r="M52" i="11"/>
  <c r="M54" i="11" s="1"/>
  <c r="L52" i="11"/>
  <c r="L54" i="11" s="1"/>
  <c r="K52" i="11"/>
  <c r="K54" i="11" s="1"/>
  <c r="J52" i="11"/>
  <c r="J54" i="11" s="1"/>
  <c r="L60" i="11" l="1"/>
  <c r="AM32" i="20"/>
  <c r="AP51" i="28" s="1"/>
  <c r="M50" i="28" s="1"/>
  <c r="M49" i="28" s="1"/>
  <c r="M40" i="28" s="1"/>
  <c r="M39" i="28" s="1"/>
  <c r="J60" i="11"/>
  <c r="AK32" i="20"/>
  <c r="AN51" i="28" s="1"/>
  <c r="K50" i="28" s="1"/>
  <c r="K49" i="28" s="1"/>
  <c r="K40" i="28" s="1"/>
  <c r="K39" i="28" s="1"/>
  <c r="K60" i="11"/>
  <c r="AL32" i="20"/>
  <c r="AO51" i="28" s="1"/>
  <c r="L50" i="28" s="1"/>
  <c r="L49" i="28" s="1"/>
  <c r="L40" i="28" s="1"/>
  <c r="L39" i="28" s="1"/>
  <c r="J67" i="11"/>
  <c r="K67" i="11"/>
  <c r="L67" i="11"/>
  <c r="M67" i="11"/>
  <c r="M64" i="11" s="1"/>
  <c r="J69" i="11"/>
  <c r="K69" i="11"/>
  <c r="L69" i="11"/>
  <c r="M69" i="11"/>
  <c r="J70" i="11"/>
  <c r="K70" i="11"/>
  <c r="L70" i="11"/>
  <c r="M70" i="11"/>
  <c r="J71" i="11"/>
  <c r="K71" i="11"/>
  <c r="K64" i="11" s="1"/>
  <c r="L71" i="11"/>
  <c r="L64" i="11" s="1"/>
  <c r="M71" i="11"/>
  <c r="L92" i="28" l="1"/>
  <c r="L86" i="28" s="1"/>
  <c r="L71" i="28"/>
  <c r="M71" i="28"/>
  <c r="M92" i="28"/>
  <c r="M86" i="28" s="1"/>
  <c r="K92" i="28"/>
  <c r="K86" i="28" s="1"/>
  <c r="K71" i="28"/>
  <c r="Q193" i="11"/>
  <c r="J75" i="11"/>
  <c r="V24" i="27"/>
  <c r="V23" i="27"/>
  <c r="V22" i="27"/>
  <c r="V21" i="27"/>
  <c r="V20" i="27"/>
  <c r="V19" i="27"/>
  <c r="V18" i="27"/>
  <c r="V17" i="27"/>
  <c r="P24" i="27"/>
  <c r="P23" i="27"/>
  <c r="P22" i="27"/>
  <c r="P21" i="27"/>
  <c r="P20" i="27"/>
  <c r="P19" i="27"/>
  <c r="P18" i="27"/>
  <c r="P17" i="27"/>
  <c r="J23" i="27"/>
  <c r="J22" i="27"/>
  <c r="J21" i="27"/>
  <c r="J20" i="27"/>
  <c r="J19" i="27"/>
  <c r="J18" i="27"/>
  <c r="J17" i="27"/>
  <c r="D18" i="27"/>
  <c r="D19" i="27"/>
  <c r="D20" i="27"/>
  <c r="D21" i="27"/>
  <c r="D22" i="27"/>
  <c r="D23" i="27"/>
  <c r="D24" i="27"/>
  <c r="U24" i="27"/>
  <c r="U23" i="27"/>
  <c r="U22" i="27"/>
  <c r="U21" i="27"/>
  <c r="U20" i="27"/>
  <c r="U19" i="27"/>
  <c r="U18" i="27"/>
  <c r="O24" i="27"/>
  <c r="O23" i="27"/>
  <c r="O22" i="27"/>
  <c r="O21" i="27"/>
  <c r="O20" i="27"/>
  <c r="O19" i="27"/>
  <c r="O18" i="27"/>
  <c r="I24" i="27"/>
  <c r="I23" i="27"/>
  <c r="I22" i="27"/>
  <c r="I21" i="27"/>
  <c r="I20" i="27"/>
  <c r="I19" i="27"/>
  <c r="I18" i="27"/>
  <c r="C19" i="27"/>
  <c r="C20" i="27"/>
  <c r="C21" i="27"/>
  <c r="C22" i="27"/>
  <c r="C23" i="27"/>
  <c r="C24" i="27"/>
  <c r="C18" i="27"/>
  <c r="U17" i="27"/>
  <c r="O17" i="27"/>
  <c r="I17" i="27"/>
  <c r="D17" i="27"/>
  <c r="C17" i="27"/>
  <c r="B173" i="20"/>
  <c r="K91" i="28" l="1"/>
  <c r="K89" i="28" s="1"/>
  <c r="K90" i="28" s="1"/>
  <c r="K93" i="28"/>
  <c r="M91" i="28"/>
  <c r="M89" i="28" s="1"/>
  <c r="M90" i="28" s="1"/>
  <c r="M93" i="28"/>
  <c r="L91" i="28"/>
  <c r="L89" i="28" s="1"/>
  <c r="L90" i="28" s="1"/>
  <c r="L93" i="28"/>
  <c r="G43" i="20"/>
  <c r="Z48" i="20" l="1"/>
  <c r="I79" i="11"/>
  <c r="I78" i="11"/>
  <c r="I77" i="11"/>
  <c r="I76" i="11"/>
  <c r="I75" i="11"/>
  <c r="I103" i="20" l="1"/>
  <c r="H79" i="11" l="1"/>
  <c r="H78" i="11"/>
  <c r="H77" i="11"/>
  <c r="H76" i="11"/>
  <c r="H75" i="11"/>
  <c r="G79" i="11" l="1"/>
  <c r="G78" i="11"/>
  <c r="G77" i="11"/>
  <c r="G76" i="11"/>
  <c r="G75" i="11"/>
  <c r="G62" i="11"/>
  <c r="G61" i="11"/>
  <c r="F79" i="11"/>
  <c r="F78" i="11"/>
  <c r="F77" i="11"/>
  <c r="F76" i="11"/>
  <c r="F75" i="11"/>
  <c r="E79" i="11"/>
  <c r="E78" i="11"/>
  <c r="E77" i="11"/>
  <c r="E76" i="11"/>
  <c r="E75" i="11"/>
  <c r="F62" i="11"/>
  <c r="F61" i="11"/>
  <c r="AF56" i="20"/>
  <c r="AI75" i="28" s="1"/>
  <c r="E62" i="11"/>
  <c r="E61" i="11"/>
  <c r="F140" i="28" l="1"/>
  <c r="F95" i="28"/>
  <c r="F74" i="28"/>
  <c r="AG32" i="20"/>
  <c r="AH32" i="20"/>
  <c r="AF32" i="20"/>
  <c r="AI51" i="28" s="1"/>
  <c r="F50" i="28" s="1"/>
  <c r="F49" i="28" s="1"/>
  <c r="F40" i="28" s="1"/>
  <c r="F95" i="20"/>
  <c r="F140" i="20"/>
  <c r="AK51" i="28" l="1"/>
  <c r="H50" i="28" s="1"/>
  <c r="AJ51" i="28"/>
  <c r="G50" i="28" s="1"/>
  <c r="G49" i="28" s="1"/>
  <c r="G40" i="28" s="1"/>
  <c r="G39" i="28" s="1"/>
  <c r="H49" i="28"/>
  <c r="H40" i="28" s="1"/>
  <c r="H39" i="28" s="1"/>
  <c r="AE41" i="20"/>
  <c r="K103" i="20"/>
  <c r="L103" i="20"/>
  <c r="M103" i="20"/>
  <c r="K54" i="20"/>
  <c r="L54" i="20"/>
  <c r="M54" i="20"/>
  <c r="N54" i="20"/>
  <c r="N134" i="20"/>
  <c r="N136" i="20"/>
  <c r="K79" i="20"/>
  <c r="L79" i="20"/>
  <c r="M79" i="20"/>
  <c r="K81" i="20"/>
  <c r="L81" i="20"/>
  <c r="M81" i="20"/>
  <c r="K73" i="20"/>
  <c r="L73" i="20"/>
  <c r="M73" i="20"/>
  <c r="J6" i="11"/>
  <c r="K6" i="11"/>
  <c r="L6" i="11"/>
  <c r="M6" i="11"/>
  <c r="N6" i="11"/>
  <c r="K75" i="11"/>
  <c r="K87" i="11" s="1"/>
  <c r="L75" i="11"/>
  <c r="L87" i="11" s="1"/>
  <c r="M87" i="11"/>
  <c r="J76" i="11"/>
  <c r="J77" i="11"/>
  <c r="K77" i="11"/>
  <c r="L77" i="11"/>
  <c r="J78" i="11"/>
  <c r="K78" i="11"/>
  <c r="L78" i="11"/>
  <c r="J79" i="11"/>
  <c r="K79" i="11"/>
  <c r="L79" i="11"/>
  <c r="AK60" i="20"/>
  <c r="AN79" i="28" s="1"/>
  <c r="AL60" i="20"/>
  <c r="AO79" i="28" s="1"/>
  <c r="AM60" i="20"/>
  <c r="AP79" i="28" s="1"/>
  <c r="M25" i="11"/>
  <c r="AN60" i="20" s="1"/>
  <c r="AQ79" i="28" s="1"/>
  <c r="N25" i="11"/>
  <c r="AO60" i="20" s="1"/>
  <c r="AR79" i="28" s="1"/>
  <c r="J27" i="11"/>
  <c r="K27" i="11"/>
  <c r="L27" i="11"/>
  <c r="M27" i="11"/>
  <c r="N27" i="11"/>
  <c r="J28" i="11"/>
  <c r="K28" i="11"/>
  <c r="L28" i="11"/>
  <c r="M28" i="11"/>
  <c r="N28" i="11"/>
  <c r="J29" i="11"/>
  <c r="K29" i="11"/>
  <c r="L29" i="11"/>
  <c r="M29" i="11"/>
  <c r="N29" i="11"/>
  <c r="H67" i="11"/>
  <c r="I67" i="11"/>
  <c r="H68" i="11"/>
  <c r="I68" i="11"/>
  <c r="H69" i="11"/>
  <c r="I69" i="11"/>
  <c r="H70" i="11"/>
  <c r="I70" i="11"/>
  <c r="G67" i="11"/>
  <c r="G68" i="11"/>
  <c r="G69" i="11"/>
  <c r="G70" i="11"/>
  <c r="F67" i="11"/>
  <c r="F68" i="11"/>
  <c r="F69" i="11"/>
  <c r="F70" i="11"/>
  <c r="M59" i="20"/>
  <c r="E67" i="11"/>
  <c r="E68" i="11"/>
  <c r="E69" i="11"/>
  <c r="E70" i="11"/>
  <c r="L59" i="20"/>
  <c r="K59" i="20"/>
  <c r="K43" i="20"/>
  <c r="L43" i="20"/>
  <c r="M43" i="20"/>
  <c r="K44" i="20"/>
  <c r="L44" i="20"/>
  <c r="M44" i="20"/>
  <c r="K45" i="20"/>
  <c r="L45" i="20"/>
  <c r="M45" i="20"/>
  <c r="K46" i="20"/>
  <c r="L46" i="20"/>
  <c r="M46" i="20"/>
  <c r="K47" i="20"/>
  <c r="L47" i="20"/>
  <c r="M47" i="20"/>
  <c r="K52" i="20"/>
  <c r="L52" i="20"/>
  <c r="M52" i="20"/>
  <c r="K60" i="20"/>
  <c r="L60" i="20"/>
  <c r="M60" i="20"/>
  <c r="K61" i="20"/>
  <c r="L61" i="20"/>
  <c r="M61" i="20"/>
  <c r="K62" i="20"/>
  <c r="L62" i="20"/>
  <c r="M62" i="20"/>
  <c r="AK24" i="20"/>
  <c r="K42" i="20" s="1"/>
  <c r="AL24" i="20"/>
  <c r="L42" i="20" s="1"/>
  <c r="AM24" i="20"/>
  <c r="M42" i="20" s="1"/>
  <c r="F54" i="20"/>
  <c r="G54" i="20"/>
  <c r="H54" i="20"/>
  <c r="I54" i="20"/>
  <c r="J54" i="20"/>
  <c r="Q54" i="20"/>
  <c r="R54" i="20"/>
  <c r="S54" i="20"/>
  <c r="E54" i="20"/>
  <c r="E53" i="20"/>
  <c r="AA38" i="20"/>
  <c r="D21" i="11"/>
  <c r="E137" i="20"/>
  <c r="E136" i="20"/>
  <c r="AA64" i="20"/>
  <c r="C43" i="26"/>
  <c r="D43" i="26"/>
  <c r="C44" i="26"/>
  <c r="D44" i="26"/>
  <c r="C45" i="26"/>
  <c r="D45" i="26"/>
  <c r="C46" i="26"/>
  <c r="D46" i="26"/>
  <c r="D42" i="26"/>
  <c r="C42" i="26"/>
  <c r="D39" i="26"/>
  <c r="B39" i="26"/>
  <c r="C34" i="26"/>
  <c r="D34" i="26"/>
  <c r="C35" i="26"/>
  <c r="D35" i="26"/>
  <c r="C36" i="26"/>
  <c r="D36" i="26"/>
  <c r="C37" i="26"/>
  <c r="D37" i="26"/>
  <c r="D33" i="26"/>
  <c r="C33" i="26"/>
  <c r="D30" i="26"/>
  <c r="B30" i="26"/>
  <c r="C25" i="26"/>
  <c r="D25" i="26"/>
  <c r="C26" i="26"/>
  <c r="D26" i="26"/>
  <c r="C27" i="26"/>
  <c r="D27" i="26"/>
  <c r="C28" i="26"/>
  <c r="D28" i="26"/>
  <c r="C16" i="26"/>
  <c r="D16" i="26"/>
  <c r="C17" i="26"/>
  <c r="D17" i="26"/>
  <c r="C18" i="26"/>
  <c r="D18" i="26"/>
  <c r="C19" i="26"/>
  <c r="D19" i="26"/>
  <c r="D24" i="26"/>
  <c r="C24" i="26"/>
  <c r="D21" i="26"/>
  <c r="B21" i="26"/>
  <c r="D15" i="26"/>
  <c r="C15" i="26"/>
  <c r="D12" i="26"/>
  <c r="B12" i="26"/>
  <c r="O7" i="26"/>
  <c r="Q7" i="26"/>
  <c r="Q8" i="26"/>
  <c r="O8" i="26"/>
  <c r="Q6" i="26"/>
  <c r="O6" i="26"/>
  <c r="Q5" i="26"/>
  <c r="O5" i="26"/>
  <c r="Q4" i="26"/>
  <c r="O4" i="26"/>
  <c r="O99" i="28" l="1"/>
  <c r="O94" i="28" s="1"/>
  <c r="O78" i="28"/>
  <c r="O72" i="28" s="1"/>
  <c r="O83" i="28" s="1"/>
  <c r="AG85" i="28" s="1"/>
  <c r="L99" i="28"/>
  <c r="L94" i="28" s="1"/>
  <c r="L102" i="28" s="1"/>
  <c r="L78" i="28"/>
  <c r="K99" i="28"/>
  <c r="K94" i="28" s="1"/>
  <c r="K102" i="28" s="1"/>
  <c r="K78" i="28"/>
  <c r="M99" i="28"/>
  <c r="M94" i="28" s="1"/>
  <c r="M102" i="28" s="1"/>
  <c r="M78" i="28"/>
  <c r="N78" i="28"/>
  <c r="N99" i="28"/>
  <c r="N94" i="28" s="1"/>
  <c r="N102" i="28" s="1"/>
  <c r="G92" i="28"/>
  <c r="G86" i="28" s="1"/>
  <c r="G91" i="28" s="1"/>
  <c r="G89" i="28" s="1"/>
  <c r="G90" i="28" s="1"/>
  <c r="G71" i="28"/>
  <c r="G72" i="28" s="1"/>
  <c r="H92" i="28"/>
  <c r="H86" i="28" s="1"/>
  <c r="H93" i="28" s="1"/>
  <c r="H71" i="28"/>
  <c r="H72" i="28" s="1"/>
  <c r="U82" i="20"/>
  <c r="U122" i="20" s="1"/>
  <c r="T82" i="20"/>
  <c r="T122" i="20" s="1"/>
  <c r="O82" i="20"/>
  <c r="O122" i="20" s="1"/>
  <c r="O56" i="20"/>
  <c r="P56" i="20"/>
  <c r="T56" i="20"/>
  <c r="U56" i="20"/>
  <c r="M82" i="20"/>
  <c r="L82" i="20"/>
  <c r="K82" i="20"/>
  <c r="M89" i="11"/>
  <c r="L89" i="11"/>
  <c r="K89" i="11"/>
  <c r="M57" i="20"/>
  <c r="M136" i="20"/>
  <c r="L57" i="20"/>
  <c r="L136" i="20"/>
  <c r="K57" i="20"/>
  <c r="K136" i="20"/>
  <c r="M56" i="20"/>
  <c r="L56" i="20"/>
  <c r="K56" i="20"/>
  <c r="M55" i="20"/>
  <c r="M134" i="20"/>
  <c r="L55" i="20"/>
  <c r="L134" i="20"/>
  <c r="K55" i="20"/>
  <c r="K134" i="20"/>
  <c r="F46" i="26"/>
  <c r="E46" i="26"/>
  <c r="F43" i="26"/>
  <c r="F35" i="26"/>
  <c r="E37" i="26"/>
  <c r="F42" i="26"/>
  <c r="F45" i="26"/>
  <c r="E43" i="26"/>
  <c r="E45" i="26"/>
  <c r="E42" i="26"/>
  <c r="F44" i="26"/>
  <c r="E33" i="26"/>
  <c r="F34" i="26"/>
  <c r="E44" i="26"/>
  <c r="F37" i="26"/>
  <c r="F18" i="26"/>
  <c r="F36" i="26"/>
  <c r="E36" i="26"/>
  <c r="E34" i="26"/>
  <c r="F33" i="26"/>
  <c r="E35" i="26"/>
  <c r="F27" i="26"/>
  <c r="F16" i="26"/>
  <c r="E24" i="26"/>
  <c r="F24" i="26"/>
  <c r="E19" i="26"/>
  <c r="F15" i="26"/>
  <c r="E27" i="26"/>
  <c r="F17" i="26"/>
  <c r="F19" i="26"/>
  <c r="E16" i="26"/>
  <c r="E26" i="26"/>
  <c r="E25" i="26"/>
  <c r="E18" i="26"/>
  <c r="E15" i="26"/>
  <c r="F28" i="26"/>
  <c r="F25" i="26"/>
  <c r="E28" i="26"/>
  <c r="E17" i="26"/>
  <c r="F26" i="26"/>
  <c r="M118" i="28" l="1"/>
  <c r="M72" i="28"/>
  <c r="M83" i="28" s="1"/>
  <c r="K118" i="28"/>
  <c r="K72" i="28"/>
  <c r="K83" i="28" s="1"/>
  <c r="N118" i="28"/>
  <c r="N72" i="28"/>
  <c r="N83" i="28" s="1"/>
  <c r="G93" i="28"/>
  <c r="G94" i="28" s="1"/>
  <c r="L118" i="28"/>
  <c r="L72" i="28"/>
  <c r="L83" i="28" s="1"/>
  <c r="H91" i="28"/>
  <c r="H89" i="28" s="1"/>
  <c r="H90" i="28" s="1"/>
  <c r="H94" i="28"/>
  <c r="L28" i="20"/>
  <c r="L35" i="20"/>
  <c r="L36" i="20"/>
  <c r="L30" i="20"/>
  <c r="L26" i="20"/>
  <c r="L17" i="20"/>
  <c r="L24" i="20"/>
  <c r="L27" i="20"/>
  <c r="L25" i="20"/>
  <c r="L34" i="20"/>
  <c r="L32" i="20"/>
  <c r="L33" i="20"/>
  <c r="L29" i="20"/>
  <c r="M30" i="20"/>
  <c r="M34" i="20"/>
  <c r="M25" i="20"/>
  <c r="M33" i="20"/>
  <c r="M17" i="20"/>
  <c r="M29" i="20"/>
  <c r="M28" i="20"/>
  <c r="M36" i="20"/>
  <c r="M26" i="20"/>
  <c r="M24" i="20"/>
  <c r="M32" i="20"/>
  <c r="M27" i="20"/>
  <c r="M35" i="20"/>
  <c r="C135" i="20"/>
  <c r="Q89" i="11"/>
  <c r="Q87" i="11"/>
  <c r="I61" i="11"/>
  <c r="H62" i="11"/>
  <c r="AJ32" i="20"/>
  <c r="AM51" i="28" s="1"/>
  <c r="O95" i="11"/>
  <c r="O96" i="11"/>
  <c r="N123" i="28" l="1"/>
  <c r="N125" i="28" s="1"/>
  <c r="AT93" i="28"/>
  <c r="AT117" i="28" s="1"/>
  <c r="N110" i="28"/>
  <c r="N112" i="28"/>
  <c r="AE85" i="28"/>
  <c r="N113" i="28"/>
  <c r="N111" i="28"/>
  <c r="L110" i="28"/>
  <c r="L113" i="28"/>
  <c r="L123" i="28"/>
  <c r="L125" i="28" s="1"/>
  <c r="L112" i="28"/>
  <c r="L111" i="28"/>
  <c r="K110" i="28"/>
  <c r="K113" i="28"/>
  <c r="K111" i="28"/>
  <c r="K112" i="28"/>
  <c r="K123" i="28"/>
  <c r="K125" i="28" s="1"/>
  <c r="M123" i="28"/>
  <c r="M125" i="28" s="1"/>
  <c r="M110" i="28"/>
  <c r="M113" i="28"/>
  <c r="M111" i="28"/>
  <c r="M112" i="28"/>
  <c r="O135" i="20"/>
  <c r="U135" i="20"/>
  <c r="U131" i="20" s="1"/>
  <c r="T135" i="20"/>
  <c r="T131" i="20" s="1"/>
  <c r="N135" i="20"/>
  <c r="K135" i="20"/>
  <c r="L135" i="20"/>
  <c r="M135" i="20"/>
  <c r="J50" i="28"/>
  <c r="K33" i="20"/>
  <c r="K28" i="20"/>
  <c r="K36" i="20"/>
  <c r="K32" i="20"/>
  <c r="K24" i="20"/>
  <c r="K26" i="20"/>
  <c r="K27" i="20"/>
  <c r="K29" i="20"/>
  <c r="K35" i="20"/>
  <c r="K30" i="20"/>
  <c r="K25" i="20"/>
  <c r="K17" i="20"/>
  <c r="K34" i="20"/>
  <c r="H60" i="11"/>
  <c r="AI32" i="20"/>
  <c r="L22" i="20"/>
  <c r="L64" i="20" s="1"/>
  <c r="L66" i="20" s="1"/>
  <c r="M22" i="20"/>
  <c r="M64" i="20" s="1"/>
  <c r="M66" i="20" s="1"/>
  <c r="Q90" i="11"/>
  <c r="I60" i="11"/>
  <c r="AU45" i="20" l="1"/>
  <c r="U69" i="20" s="1"/>
  <c r="U152" i="20"/>
  <c r="U145" i="20"/>
  <c r="AT45" i="20"/>
  <c r="T69" i="20" s="1"/>
  <c r="T152" i="20"/>
  <c r="T145" i="20"/>
  <c r="AL51" i="28"/>
  <c r="I50" i="28" s="1"/>
  <c r="I49" i="28" s="1"/>
  <c r="I40" i="28" s="1"/>
  <c r="I39" i="28" s="1"/>
  <c r="I71" i="28" s="1"/>
  <c r="I72" i="28" s="1"/>
  <c r="O131" i="20"/>
  <c r="L124" i="28"/>
  <c r="N124" i="28"/>
  <c r="K124" i="28"/>
  <c r="M124" i="28"/>
  <c r="J49" i="28"/>
  <c r="J40" i="28" s="1"/>
  <c r="J39" i="28" s="1"/>
  <c r="K22" i="20"/>
  <c r="K64" i="20" s="1"/>
  <c r="K66" i="20" s="1"/>
  <c r="Q55" i="20"/>
  <c r="R55" i="20"/>
  <c r="I92" i="28" l="1"/>
  <c r="I86" i="28" s="1"/>
  <c r="I93" i="28" s="1"/>
  <c r="AO45" i="20"/>
  <c r="O69" i="20" s="1"/>
  <c r="O145" i="20"/>
  <c r="O152" i="20"/>
  <c r="I91" i="28"/>
  <c r="I89" i="28" s="1"/>
  <c r="I90" i="28" s="1"/>
  <c r="I94" i="28"/>
  <c r="J92" i="28"/>
  <c r="J86" i="28" s="1"/>
  <c r="J91" i="28" s="1"/>
  <c r="J89" i="28" s="1"/>
  <c r="J90" i="28" s="1"/>
  <c r="J71" i="28"/>
  <c r="J72" i="28" s="1"/>
  <c r="T154" i="20"/>
  <c r="T155" i="20"/>
  <c r="U155" i="20"/>
  <c r="U154" i="20"/>
  <c r="Q51" i="20"/>
  <c r="S51" i="20"/>
  <c r="Q53" i="20"/>
  <c r="R53" i="20"/>
  <c r="Q56" i="20"/>
  <c r="Q57" i="20"/>
  <c r="Q58" i="20"/>
  <c r="S58" i="20"/>
  <c r="Q59" i="20"/>
  <c r="S59" i="20"/>
  <c r="Q60" i="20"/>
  <c r="R60" i="20"/>
  <c r="S60" i="20"/>
  <c r="Q61" i="20"/>
  <c r="S61" i="20"/>
  <c r="Q62" i="20"/>
  <c r="S62" i="20"/>
  <c r="N52" i="20"/>
  <c r="N60" i="20"/>
  <c r="N61" i="20"/>
  <c r="N62" i="20"/>
  <c r="F61" i="20"/>
  <c r="G61" i="20"/>
  <c r="H61" i="20"/>
  <c r="I61" i="20"/>
  <c r="J61" i="20"/>
  <c r="F62" i="20"/>
  <c r="G62" i="20"/>
  <c r="H62" i="20"/>
  <c r="I62" i="20"/>
  <c r="J62" i="20"/>
  <c r="Q42" i="20"/>
  <c r="R42" i="20"/>
  <c r="Q43" i="20"/>
  <c r="Q45" i="20"/>
  <c r="Q46" i="20"/>
  <c r="R46" i="20"/>
  <c r="Q47" i="20"/>
  <c r="R47" i="20"/>
  <c r="P42" i="20"/>
  <c r="P43" i="20"/>
  <c r="P44" i="20"/>
  <c r="P45" i="20"/>
  <c r="P46" i="20"/>
  <c r="P47" i="20"/>
  <c r="N43" i="20"/>
  <c r="N44" i="20"/>
  <c r="N45" i="20"/>
  <c r="N46" i="20"/>
  <c r="N47" i="20"/>
  <c r="O155" i="20" l="1"/>
  <c r="O154" i="20"/>
  <c r="J93" i="28"/>
  <c r="P41" i="20"/>
  <c r="Q44" i="20"/>
  <c r="Q41" i="20" s="1"/>
  <c r="J94" i="28" l="1"/>
  <c r="P132" i="20"/>
  <c r="N56" i="20"/>
  <c r="AN24" i="20"/>
  <c r="N42" i="20" s="1"/>
  <c r="N41" i="20" s="1"/>
  <c r="B135" i="20"/>
  <c r="AP51" i="20"/>
  <c r="P74" i="20"/>
  <c r="J59" i="20"/>
  <c r="I59" i="20"/>
  <c r="H59" i="20"/>
  <c r="G59" i="20"/>
  <c r="F59" i="20"/>
  <c r="F73" i="20"/>
  <c r="G73" i="20"/>
  <c r="H73" i="20"/>
  <c r="I73" i="20"/>
  <c r="J73" i="20"/>
  <c r="N73" i="20"/>
  <c r="Q73" i="20"/>
  <c r="R73" i="20"/>
  <c r="E73" i="20"/>
  <c r="Q74" i="20"/>
  <c r="R74" i="20"/>
  <c r="S74" i="20"/>
  <c r="L76" i="11"/>
  <c r="L88" i="11" s="1"/>
  <c r="L193" i="11" s="1"/>
  <c r="AE56" i="20"/>
  <c r="E74" i="20" s="1"/>
  <c r="M88" i="11"/>
  <c r="M193" i="11" s="1"/>
  <c r="K76" i="11"/>
  <c r="K88" i="11" s="1"/>
  <c r="K193" i="11" s="1"/>
  <c r="S137" i="20"/>
  <c r="S67" i="20"/>
  <c r="S65" i="20"/>
  <c r="S66" i="20"/>
  <c r="S68" i="20" s="1"/>
  <c r="S27" i="20"/>
  <c r="S47" i="20"/>
  <c r="S46" i="20"/>
  <c r="S73" i="20"/>
  <c r="S144" i="20"/>
  <c r="AA59" i="20"/>
  <c r="S79" i="20"/>
  <c r="S81" i="20"/>
  <c r="S42" i="20"/>
  <c r="S43" i="20"/>
  <c r="S44" i="20"/>
  <c r="S45" i="20"/>
  <c r="E47" i="20"/>
  <c r="F47" i="20"/>
  <c r="G47" i="20"/>
  <c r="H47" i="20"/>
  <c r="I47" i="20"/>
  <c r="J47" i="20"/>
  <c r="F46" i="20"/>
  <c r="G46" i="20"/>
  <c r="H46" i="20"/>
  <c r="I46" i="20"/>
  <c r="J46" i="20"/>
  <c r="E46" i="20"/>
  <c r="R133" i="20"/>
  <c r="R134" i="20"/>
  <c r="R33" i="20"/>
  <c r="R81" i="20"/>
  <c r="R62" i="20"/>
  <c r="R61" i="20"/>
  <c r="R58" i="20"/>
  <c r="R59" i="20"/>
  <c r="R57" i="20"/>
  <c r="R56" i="20"/>
  <c r="R51" i="20"/>
  <c r="R45" i="20"/>
  <c r="R44" i="20"/>
  <c r="R43" i="20"/>
  <c r="F81" i="20"/>
  <c r="G81" i="20"/>
  <c r="H81" i="20"/>
  <c r="I81" i="20"/>
  <c r="J81" i="20"/>
  <c r="N81" i="20"/>
  <c r="P81" i="20"/>
  <c r="P121" i="20" s="1"/>
  <c r="Q81" i="20"/>
  <c r="E81" i="20"/>
  <c r="R79" i="20"/>
  <c r="E62" i="20"/>
  <c r="E61" i="20"/>
  <c r="I45" i="20"/>
  <c r="J45" i="20"/>
  <c r="E45" i="20"/>
  <c r="S150" i="20" l="1"/>
  <c r="S151" i="20"/>
  <c r="O98" i="20"/>
  <c r="O77" i="20"/>
  <c r="O117" i="20" s="1"/>
  <c r="T106" i="20"/>
  <c r="U106" i="20"/>
  <c r="T98" i="20"/>
  <c r="U98" i="20"/>
  <c r="T77" i="20"/>
  <c r="T117" i="20" s="1"/>
  <c r="U77" i="20"/>
  <c r="U117" i="20" s="1"/>
  <c r="O106" i="20"/>
  <c r="K106" i="20"/>
  <c r="L106" i="20"/>
  <c r="M106" i="20"/>
  <c r="F74" i="20"/>
  <c r="K140" i="20"/>
  <c r="S82" i="20"/>
  <c r="S122" i="20" s="1"/>
  <c r="S57" i="20"/>
  <c r="S53" i="20"/>
  <c r="S55" i="20"/>
  <c r="S56" i="20"/>
  <c r="J95" i="20"/>
  <c r="S119" i="20"/>
  <c r="S121" i="20"/>
  <c r="R119" i="20"/>
  <c r="R114" i="20"/>
  <c r="R121" i="20"/>
  <c r="S114" i="20"/>
  <c r="S136" i="20"/>
  <c r="S132" i="20"/>
  <c r="S133" i="20"/>
  <c r="S134" i="20"/>
  <c r="S98" i="20"/>
  <c r="P106" i="20"/>
  <c r="P98" i="20"/>
  <c r="S106" i="20"/>
  <c r="I82" i="20"/>
  <c r="H82" i="20"/>
  <c r="R82" i="20"/>
  <c r="R122" i="20" s="1"/>
  <c r="P82" i="20"/>
  <c r="P122" i="20" s="1"/>
  <c r="N82" i="20"/>
  <c r="J82" i="20"/>
  <c r="G82" i="20"/>
  <c r="F82" i="20"/>
  <c r="E82" i="20"/>
  <c r="Q82" i="20"/>
  <c r="S36" i="20"/>
  <c r="S35" i="20"/>
  <c r="S34" i="20"/>
  <c r="S32" i="20"/>
  <c r="S33" i="20"/>
  <c r="S30" i="20"/>
  <c r="S29" i="20"/>
  <c r="S28" i="20"/>
  <c r="S26" i="20"/>
  <c r="S25" i="20"/>
  <c r="S24" i="20"/>
  <c r="S41" i="20"/>
  <c r="R27" i="20"/>
  <c r="R144" i="20"/>
  <c r="R136" i="20"/>
  <c r="R137" i="20"/>
  <c r="R132" i="20"/>
  <c r="R28" i="20"/>
  <c r="H45" i="20"/>
  <c r="G45" i="20"/>
  <c r="F45" i="20"/>
  <c r="R41" i="20"/>
  <c r="R26" i="20"/>
  <c r="R25" i="20"/>
  <c r="R36" i="20"/>
  <c r="R29" i="20"/>
  <c r="R35" i="20"/>
  <c r="R34" i="20"/>
  <c r="R66" i="20"/>
  <c r="R32" i="20"/>
  <c r="R24" i="20"/>
  <c r="R30" i="20"/>
  <c r="R150" i="20" l="1"/>
  <c r="R151" i="20"/>
  <c r="I95" i="20"/>
  <c r="I140" i="20"/>
  <c r="H95" i="20"/>
  <c r="H140" i="20"/>
  <c r="G95" i="20"/>
  <c r="G140" i="20"/>
  <c r="K74" i="20"/>
  <c r="K95" i="20"/>
  <c r="J74" i="20"/>
  <c r="I74" i="20"/>
  <c r="H74" i="20"/>
  <c r="M140" i="20"/>
  <c r="G74" i="20"/>
  <c r="L140" i="20"/>
  <c r="S22" i="20"/>
  <c r="R22" i="20"/>
  <c r="N95" i="20" l="1"/>
  <c r="N140" i="20"/>
  <c r="M74" i="20"/>
  <c r="M95" i="20"/>
  <c r="L74" i="20"/>
  <c r="L95" i="20"/>
  <c r="R89" i="11"/>
  <c r="R87" i="11"/>
  <c r="R88" i="11"/>
  <c r="AI54" i="20"/>
  <c r="AL73" i="28" s="1"/>
  <c r="AJ54" i="20"/>
  <c r="AM73" i="28" s="1"/>
  <c r="AH54" i="20"/>
  <c r="J43" i="20"/>
  <c r="J44" i="20"/>
  <c r="J79" i="20"/>
  <c r="AJ24" i="20"/>
  <c r="J42" i="20" s="1"/>
  <c r="J60" i="20"/>
  <c r="E130" i="20"/>
  <c r="P136" i="20"/>
  <c r="Q136" i="20"/>
  <c r="P144" i="20"/>
  <c r="E133" i="20"/>
  <c r="E134" i="20"/>
  <c r="E132" i="20"/>
  <c r="E43" i="20"/>
  <c r="E44" i="20"/>
  <c r="F44" i="20"/>
  <c r="G44" i="20"/>
  <c r="H44" i="20"/>
  <c r="E51" i="20"/>
  <c r="E52" i="20"/>
  <c r="E55" i="20"/>
  <c r="E56" i="20"/>
  <c r="E57" i="20"/>
  <c r="E58" i="20"/>
  <c r="E59" i="20"/>
  <c r="E60" i="20"/>
  <c r="E66" i="20"/>
  <c r="E79" i="20"/>
  <c r="F79" i="20"/>
  <c r="G79" i="20"/>
  <c r="H79" i="20"/>
  <c r="I44" i="20"/>
  <c r="AF57" i="20"/>
  <c r="AI76" i="28" s="1"/>
  <c r="AF58" i="20"/>
  <c r="AI77" i="28" s="1"/>
  <c r="AF59" i="20"/>
  <c r="AI78" i="28" s="1"/>
  <c r="AF60" i="20"/>
  <c r="AI79" i="28" s="1"/>
  <c r="AE58" i="20"/>
  <c r="AE59" i="20"/>
  <c r="AE60" i="20"/>
  <c r="AE57" i="20"/>
  <c r="AG54" i="20"/>
  <c r="AF54" i="20"/>
  <c r="AI73" i="28" s="1"/>
  <c r="AE54" i="20"/>
  <c r="F60" i="20"/>
  <c r="G60" i="20"/>
  <c r="H60" i="20"/>
  <c r="I60" i="20"/>
  <c r="J119" i="20" l="1"/>
  <c r="P150" i="20"/>
  <c r="P151" i="20"/>
  <c r="J146" i="28"/>
  <c r="J122" i="28"/>
  <c r="J121" i="28"/>
  <c r="J120" i="28"/>
  <c r="J117" i="28"/>
  <c r="J119" i="28"/>
  <c r="J116" i="28"/>
  <c r="J115" i="28"/>
  <c r="J118" i="28"/>
  <c r="J114" i="28"/>
  <c r="J83" i="28"/>
  <c r="J102" i="28"/>
  <c r="M144" i="20"/>
  <c r="AK73" i="28"/>
  <c r="AU71" i="28"/>
  <c r="I121" i="28"/>
  <c r="AV71" i="28"/>
  <c r="I118" i="28"/>
  <c r="I119" i="28"/>
  <c r="I146" i="28"/>
  <c r="I114" i="28"/>
  <c r="I117" i="28"/>
  <c r="I120" i="28"/>
  <c r="I115" i="28"/>
  <c r="I122" i="28"/>
  <c r="I116" i="28"/>
  <c r="I83" i="28"/>
  <c r="I102" i="28"/>
  <c r="L144" i="20"/>
  <c r="AJ73" i="28"/>
  <c r="F146" i="28"/>
  <c r="F119" i="28"/>
  <c r="F122" i="28"/>
  <c r="F121" i="28"/>
  <c r="F120" i="28"/>
  <c r="F114" i="28"/>
  <c r="F78" i="28"/>
  <c r="F118" i="28" s="1"/>
  <c r="F99" i="28"/>
  <c r="F143" i="28"/>
  <c r="F77" i="28"/>
  <c r="F117" i="28" s="1"/>
  <c r="F98" i="28"/>
  <c r="F141" i="28"/>
  <c r="F96" i="28"/>
  <c r="F75" i="28"/>
  <c r="F115" i="28" s="1"/>
  <c r="F142" i="28"/>
  <c r="F76" i="28"/>
  <c r="F116" i="28" s="1"/>
  <c r="F97" i="28"/>
  <c r="R193" i="11"/>
  <c r="N144" i="20"/>
  <c r="N143" i="20"/>
  <c r="I143" i="20"/>
  <c r="N142" i="20"/>
  <c r="I142" i="20"/>
  <c r="N141" i="20"/>
  <c r="N139" i="20" s="1"/>
  <c r="I141" i="20"/>
  <c r="M143" i="20"/>
  <c r="H143" i="20"/>
  <c r="M142" i="20"/>
  <c r="H142" i="20"/>
  <c r="M141" i="20"/>
  <c r="H141" i="20"/>
  <c r="L142" i="20"/>
  <c r="G142" i="20"/>
  <c r="L141" i="20"/>
  <c r="G141" i="20"/>
  <c r="L143" i="20"/>
  <c r="G143" i="20"/>
  <c r="K143" i="20"/>
  <c r="F143" i="20"/>
  <c r="K142" i="20"/>
  <c r="F142" i="20"/>
  <c r="K141" i="20"/>
  <c r="F141" i="20"/>
  <c r="K144" i="20"/>
  <c r="F144" i="20"/>
  <c r="F114" i="20"/>
  <c r="F126" i="20" s="1"/>
  <c r="N121" i="20"/>
  <c r="N122" i="20"/>
  <c r="M119" i="20"/>
  <c r="M114" i="20"/>
  <c r="L119" i="20"/>
  <c r="L114" i="20"/>
  <c r="K119" i="20"/>
  <c r="K114" i="20"/>
  <c r="R90" i="11"/>
  <c r="F119" i="20"/>
  <c r="H114" i="20"/>
  <c r="H126" i="20" s="1"/>
  <c r="J114" i="20"/>
  <c r="G114" i="20"/>
  <c r="G126" i="20" s="1"/>
  <c r="I114" i="20"/>
  <c r="I126" i="20" s="1"/>
  <c r="H119" i="20"/>
  <c r="G119" i="20"/>
  <c r="H144" i="20"/>
  <c r="J144" i="20"/>
  <c r="E144" i="20"/>
  <c r="E150" i="20" s="1"/>
  <c r="E114" i="20"/>
  <c r="E119" i="20"/>
  <c r="G144" i="20"/>
  <c r="AR52" i="20"/>
  <c r="AS52" i="20"/>
  <c r="I144" i="20"/>
  <c r="F150" i="20" l="1"/>
  <c r="F151" i="20"/>
  <c r="G150" i="20"/>
  <c r="G151" i="20"/>
  <c r="M153" i="20"/>
  <c r="M150" i="20"/>
  <c r="M151" i="20"/>
  <c r="N150" i="20"/>
  <c r="H150" i="20"/>
  <c r="H151" i="20"/>
  <c r="N151" i="20"/>
  <c r="L150" i="20"/>
  <c r="L151" i="20"/>
  <c r="L153" i="20"/>
  <c r="I139" i="20"/>
  <c r="I150" i="20"/>
  <c r="I151" i="20"/>
  <c r="K150" i="20"/>
  <c r="K153" i="20"/>
  <c r="K151" i="20"/>
  <c r="J153" i="20"/>
  <c r="J150" i="20"/>
  <c r="J151" i="20"/>
  <c r="F139" i="28"/>
  <c r="F151" i="28"/>
  <c r="F150" i="28"/>
  <c r="F147" i="28"/>
  <c r="F152" i="28"/>
  <c r="I150" i="28"/>
  <c r="I151" i="28"/>
  <c r="I147" i="28"/>
  <c r="I152" i="28"/>
  <c r="J150" i="28"/>
  <c r="J151" i="28"/>
  <c r="J147" i="28"/>
  <c r="J152" i="28"/>
  <c r="L139" i="20"/>
  <c r="F139" i="20"/>
  <c r="H139" i="20"/>
  <c r="G139" i="20"/>
  <c r="K139" i="20"/>
  <c r="M139" i="20"/>
  <c r="AF85" i="28"/>
  <c r="J111" i="28"/>
  <c r="J123" i="28"/>
  <c r="J125" i="28" s="1"/>
  <c r="J113" i="28"/>
  <c r="J112" i="28"/>
  <c r="J110" i="28"/>
  <c r="AI64" i="28"/>
  <c r="F69" i="28" s="1"/>
  <c r="F39" i="28" s="1"/>
  <c r="G146" i="28"/>
  <c r="G119" i="28"/>
  <c r="G122" i="28"/>
  <c r="G121" i="28"/>
  <c r="G118" i="28"/>
  <c r="G117" i="28"/>
  <c r="G116" i="28"/>
  <c r="G115" i="28"/>
  <c r="G120" i="28"/>
  <c r="G114" i="28"/>
  <c r="G83" i="28"/>
  <c r="G102" i="28"/>
  <c r="AR93" i="28"/>
  <c r="I111" i="28"/>
  <c r="I112" i="28"/>
  <c r="I123" i="28"/>
  <c r="I125" i="28" s="1"/>
  <c r="I113" i="28"/>
  <c r="I110" i="28"/>
  <c r="AD85" i="28"/>
  <c r="H119" i="28"/>
  <c r="H146" i="28"/>
  <c r="H118" i="28"/>
  <c r="H122" i="28"/>
  <c r="H121" i="28"/>
  <c r="H116" i="28"/>
  <c r="H115" i="28"/>
  <c r="H114" i="28"/>
  <c r="H117" i="28"/>
  <c r="H120" i="28"/>
  <c r="H83" i="28"/>
  <c r="H102" i="28"/>
  <c r="M98" i="20"/>
  <c r="L98" i="20"/>
  <c r="L77" i="20"/>
  <c r="L117" i="20" s="1"/>
  <c r="M77" i="20"/>
  <c r="M117" i="20" s="1"/>
  <c r="K98" i="20"/>
  <c r="K77" i="20"/>
  <c r="K117" i="20" s="1"/>
  <c r="E151" i="20"/>
  <c r="AE24" i="20"/>
  <c r="E42" i="20" s="1"/>
  <c r="E41" i="20" s="1"/>
  <c r="AF24" i="20"/>
  <c r="F42" i="20" s="1"/>
  <c r="AG24" i="20"/>
  <c r="G42" i="20" s="1"/>
  <c r="H43" i="20"/>
  <c r="F43" i="20"/>
  <c r="I43" i="20"/>
  <c r="AI24" i="20"/>
  <c r="I42" i="20" s="1"/>
  <c r="J154" i="28" l="1"/>
  <c r="G151" i="28"/>
  <c r="G150" i="28"/>
  <c r="G147" i="28"/>
  <c r="G152" i="28"/>
  <c r="H151" i="28"/>
  <c r="H150" i="28"/>
  <c r="H147" i="28"/>
  <c r="H152" i="28"/>
  <c r="J124" i="28"/>
  <c r="F92" i="28"/>
  <c r="F86" i="28" s="1"/>
  <c r="F71" i="28"/>
  <c r="F72" i="28" s="1"/>
  <c r="F83" i="28" s="1"/>
  <c r="F154" i="28"/>
  <c r="I124" i="28"/>
  <c r="G123" i="28"/>
  <c r="G125" i="28" s="1"/>
  <c r="G111" i="28"/>
  <c r="G112" i="28"/>
  <c r="AP93" i="28"/>
  <c r="G110" i="28"/>
  <c r="G113" i="28"/>
  <c r="I154" i="28"/>
  <c r="H123" i="28"/>
  <c r="H125" i="28" s="1"/>
  <c r="H110" i="28"/>
  <c r="AQ93" i="28"/>
  <c r="H112" i="28"/>
  <c r="H111" i="28"/>
  <c r="H113" i="28"/>
  <c r="AH24" i="20"/>
  <c r="H42" i="20" s="1"/>
  <c r="H154" i="28" l="1"/>
  <c r="G124" i="28"/>
  <c r="G154" i="28"/>
  <c r="H124" i="28"/>
  <c r="F112" i="28"/>
  <c r="B112" i="28" s="1"/>
  <c r="AO93" i="28"/>
  <c r="F113" i="28"/>
  <c r="F110" i="28"/>
  <c r="F123" i="28"/>
  <c r="F125" i="28" s="1"/>
  <c r="F111" i="28"/>
  <c r="F93" i="28"/>
  <c r="F94" i="28" s="1"/>
  <c r="F102" i="28" s="1"/>
  <c r="F91" i="28"/>
  <c r="F89" i="28" s="1"/>
  <c r="F90" i="28" s="1"/>
  <c r="N66" i="20"/>
  <c r="I52" i="11"/>
  <c r="N74" i="20"/>
  <c r="N114" i="20" s="1"/>
  <c r="N59" i="20"/>
  <c r="F124" i="28" l="1"/>
  <c r="I72" i="11"/>
  <c r="J58" i="20"/>
  <c r="I66" i="11"/>
  <c r="I65" i="11"/>
  <c r="J56" i="20"/>
  <c r="J53" i="20"/>
  <c r="J55" i="20"/>
  <c r="J51" i="20"/>
  <c r="I53" i="11"/>
  <c r="I54" i="11" s="1"/>
  <c r="J52" i="20" l="1"/>
  <c r="J132" i="20"/>
  <c r="I71" i="11"/>
  <c r="I64" i="11" s="1"/>
  <c r="J134" i="20"/>
  <c r="J137" i="20"/>
  <c r="J133" i="20"/>
  <c r="J57" i="20"/>
  <c r="N79" i="20"/>
  <c r="N119" i="20" s="1"/>
  <c r="D54" i="11"/>
  <c r="D60" i="11"/>
  <c r="D90" i="11"/>
  <c r="D95" i="11"/>
  <c r="D96" i="11"/>
  <c r="Q26" i="20"/>
  <c r="P17" i="23"/>
  <c r="P32" i="23" s="1"/>
  <c r="O17" i="20" l="1"/>
  <c r="J25" i="20"/>
  <c r="I87" i="11"/>
  <c r="I89" i="11"/>
  <c r="I88" i="11"/>
  <c r="N55" i="20"/>
  <c r="J27" i="20" l="1"/>
  <c r="J36" i="20"/>
  <c r="J35" i="20"/>
  <c r="J26" i="20"/>
  <c r="J32" i="20"/>
  <c r="J24" i="20"/>
  <c r="J34" i="20"/>
  <c r="J17" i="20"/>
  <c r="J29" i="20"/>
  <c r="J28" i="20"/>
  <c r="J33" i="20"/>
  <c r="J30" i="20"/>
  <c r="I90" i="11"/>
  <c r="I193" i="11"/>
  <c r="N57" i="20"/>
  <c r="J22" i="20" l="1"/>
  <c r="J64" i="20" s="1"/>
  <c r="P3" i="23"/>
  <c r="P37" i="23" s="1"/>
  <c r="T75" i="23"/>
  <c r="S75" i="23"/>
  <c r="R75" i="23"/>
  <c r="Q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S74" i="23"/>
  <c r="Q74" i="23"/>
  <c r="O74" i="23"/>
  <c r="M74" i="23"/>
  <c r="K74" i="23"/>
  <c r="I74" i="23"/>
  <c r="G74" i="23"/>
  <c r="E74" i="23"/>
  <c r="C74" i="23"/>
  <c r="T73" i="23"/>
  <c r="S73" i="23"/>
  <c r="R73" i="23"/>
  <c r="Q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T72" i="23"/>
  <c r="S72" i="23"/>
  <c r="R72" i="23"/>
  <c r="Q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T71" i="23"/>
  <c r="S71" i="23"/>
  <c r="R71" i="23"/>
  <c r="Q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T70" i="23"/>
  <c r="S70" i="23"/>
  <c r="R70" i="23"/>
  <c r="Q70" i="23"/>
  <c r="O70" i="23"/>
  <c r="N70" i="23"/>
  <c r="M70" i="23"/>
  <c r="L70" i="23"/>
  <c r="K70" i="23"/>
  <c r="J70" i="23"/>
  <c r="I70" i="23"/>
  <c r="H70" i="23"/>
  <c r="G70" i="23"/>
  <c r="F70" i="23"/>
  <c r="E70" i="23"/>
  <c r="D70" i="23"/>
  <c r="C70" i="23"/>
  <c r="T68" i="23"/>
  <c r="S68" i="23"/>
  <c r="R68" i="23"/>
  <c r="Q68" i="23"/>
  <c r="O68" i="23"/>
  <c r="N68" i="23"/>
  <c r="M68" i="23"/>
  <c r="L68" i="23"/>
  <c r="K68" i="23"/>
  <c r="J68" i="23"/>
  <c r="I68" i="23"/>
  <c r="H68" i="23"/>
  <c r="G68" i="23"/>
  <c r="F68" i="23"/>
  <c r="E68" i="23"/>
  <c r="D68" i="23"/>
  <c r="C68" i="23"/>
  <c r="T67" i="23"/>
  <c r="S67" i="23"/>
  <c r="R67" i="23"/>
  <c r="Q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T66" i="23"/>
  <c r="S66" i="23"/>
  <c r="R66" i="23"/>
  <c r="Q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T65" i="23"/>
  <c r="S65" i="23"/>
  <c r="R65" i="23"/>
  <c r="Q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T64" i="23"/>
  <c r="S64" i="23"/>
  <c r="R64" i="23"/>
  <c r="Q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T63" i="23"/>
  <c r="S63" i="23"/>
  <c r="R63" i="23"/>
  <c r="Q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T62" i="23"/>
  <c r="S62" i="23"/>
  <c r="R62" i="23"/>
  <c r="Q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T61" i="23"/>
  <c r="S61" i="23"/>
  <c r="R61" i="23"/>
  <c r="Q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T60" i="23"/>
  <c r="S60" i="23"/>
  <c r="R60" i="23"/>
  <c r="Q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T58" i="23"/>
  <c r="S58" i="23"/>
  <c r="R58" i="23"/>
  <c r="Q58" i="23"/>
  <c r="O58" i="23"/>
  <c r="N58" i="23"/>
  <c r="M58" i="23"/>
  <c r="L58" i="23"/>
  <c r="K58" i="23"/>
  <c r="J58" i="23"/>
  <c r="I58" i="23"/>
  <c r="H58" i="23"/>
  <c r="G58" i="23"/>
  <c r="F58" i="23"/>
  <c r="E58" i="23"/>
  <c r="D58" i="23"/>
  <c r="C58" i="23"/>
  <c r="T57" i="23"/>
  <c r="S57" i="23"/>
  <c r="R57" i="23"/>
  <c r="Q57" i="23"/>
  <c r="O57" i="23"/>
  <c r="N57" i="23"/>
  <c r="M57" i="23"/>
  <c r="L57" i="23"/>
  <c r="K57" i="23"/>
  <c r="J57" i="23"/>
  <c r="I57" i="23"/>
  <c r="H57" i="23"/>
  <c r="G57" i="23"/>
  <c r="F57" i="23"/>
  <c r="E57" i="23"/>
  <c r="D57" i="23"/>
  <c r="C57" i="23"/>
  <c r="T56" i="23"/>
  <c r="S56" i="23"/>
  <c r="R56" i="23"/>
  <c r="Q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T55" i="23"/>
  <c r="S55" i="23"/>
  <c r="R55" i="23"/>
  <c r="Q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T54" i="23"/>
  <c r="S54" i="23"/>
  <c r="R54" i="23"/>
  <c r="Q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T53" i="23"/>
  <c r="S53" i="23"/>
  <c r="R53" i="23"/>
  <c r="Q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T49" i="23"/>
  <c r="S49" i="23"/>
  <c r="Q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T48" i="23"/>
  <c r="S48" i="23"/>
  <c r="Q48" i="23"/>
  <c r="O48" i="23"/>
  <c r="N48" i="23"/>
  <c r="M48" i="23"/>
  <c r="L48" i="23"/>
  <c r="K48" i="23"/>
  <c r="J48" i="23"/>
  <c r="I48" i="23"/>
  <c r="H48" i="23"/>
  <c r="G48" i="23"/>
  <c r="F48" i="23"/>
  <c r="E48" i="23"/>
  <c r="D48" i="23"/>
  <c r="C48" i="23"/>
  <c r="T47" i="23"/>
  <c r="S47" i="23"/>
  <c r="Q47" i="23"/>
  <c r="O47" i="23"/>
  <c r="N47" i="23"/>
  <c r="M47" i="23"/>
  <c r="L47" i="23"/>
  <c r="K47" i="23"/>
  <c r="J47" i="23"/>
  <c r="I47" i="23"/>
  <c r="H47" i="23"/>
  <c r="G47" i="23"/>
  <c r="F47" i="23"/>
  <c r="E47" i="23"/>
  <c r="D47" i="23"/>
  <c r="C47" i="23"/>
  <c r="T46" i="23"/>
  <c r="S46" i="23"/>
  <c r="Q46" i="23"/>
  <c r="O46" i="23"/>
  <c r="N46" i="23"/>
  <c r="M46" i="23"/>
  <c r="L46" i="23"/>
  <c r="K46" i="23"/>
  <c r="J46" i="23"/>
  <c r="I46" i="23"/>
  <c r="H46" i="23"/>
  <c r="G46" i="23"/>
  <c r="F46" i="23"/>
  <c r="E46" i="23"/>
  <c r="D46" i="23"/>
  <c r="C46" i="23"/>
  <c r="T45" i="23"/>
  <c r="S45" i="23"/>
  <c r="Q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T44" i="23"/>
  <c r="S44" i="23"/>
  <c r="Q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T43" i="23"/>
  <c r="S43" i="23"/>
  <c r="Q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T42" i="23"/>
  <c r="S42" i="23"/>
  <c r="Q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T41" i="23"/>
  <c r="S41" i="23"/>
  <c r="Q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T40" i="23"/>
  <c r="S40" i="23"/>
  <c r="Q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T39" i="23"/>
  <c r="S39" i="23"/>
  <c r="Q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T38" i="23"/>
  <c r="S38" i="23"/>
  <c r="Q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T37" i="23"/>
  <c r="S37" i="23"/>
  <c r="Q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T35" i="23"/>
  <c r="S35" i="23"/>
  <c r="Q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T34" i="23"/>
  <c r="S34" i="23"/>
  <c r="Q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T33" i="23"/>
  <c r="S33" i="23"/>
  <c r="Q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T32" i="23"/>
  <c r="S32" i="23"/>
  <c r="Q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T30" i="23"/>
  <c r="S30" i="23"/>
  <c r="Q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P26" i="23"/>
  <c r="P34" i="23" s="1"/>
  <c r="P25" i="23"/>
  <c r="P33" i="23" s="1"/>
  <c r="P24" i="23"/>
  <c r="P48" i="23" s="1"/>
  <c r="P23" i="23"/>
  <c r="P67" i="23" s="1"/>
  <c r="P22" i="23"/>
  <c r="P35" i="23" s="1"/>
  <c r="P21" i="23"/>
  <c r="P20" i="23"/>
  <c r="P73" i="23" s="1"/>
  <c r="P19" i="23"/>
  <c r="P72" i="23" s="1"/>
  <c r="P18" i="23"/>
  <c r="P46" i="23" s="1"/>
  <c r="P16" i="23"/>
  <c r="P65" i="23" s="1"/>
  <c r="P15" i="23"/>
  <c r="P64" i="23" s="1"/>
  <c r="P14" i="23"/>
  <c r="P71" i="23" s="1"/>
  <c r="P13" i="23"/>
  <c r="P45" i="23" s="1"/>
  <c r="P12" i="23"/>
  <c r="P44" i="23" s="1"/>
  <c r="P11" i="23"/>
  <c r="P43" i="23" s="1"/>
  <c r="P10" i="23"/>
  <c r="P42" i="23" s="1"/>
  <c r="P9" i="23"/>
  <c r="P58" i="23" s="1"/>
  <c r="P8" i="23"/>
  <c r="P57" i="23" s="1"/>
  <c r="Z31" i="23" s="1"/>
  <c r="P7" i="23"/>
  <c r="P60" i="23" s="1"/>
  <c r="P6" i="23"/>
  <c r="P39" i="23" s="1"/>
  <c r="P5" i="23"/>
  <c r="P55" i="23" s="1"/>
  <c r="P4" i="23"/>
  <c r="P54" i="23" s="1"/>
  <c r="J66" i="20" l="1"/>
  <c r="X32" i="23"/>
  <c r="X34" i="23" s="1"/>
  <c r="P30" i="23"/>
  <c r="W31" i="23" s="1"/>
  <c r="P62" i="23"/>
  <c r="P70" i="23"/>
  <c r="P49" i="23"/>
  <c r="P53" i="23"/>
  <c r="P61" i="23"/>
  <c r="P66" i="23"/>
  <c r="P75" i="23"/>
  <c r="P40" i="23"/>
  <c r="Z32" i="23"/>
  <c r="P41" i="23"/>
  <c r="Z33" i="23"/>
  <c r="W32" i="23"/>
  <c r="P38" i="23"/>
  <c r="P68" i="23"/>
  <c r="P56" i="23"/>
  <c r="P47" i="23"/>
  <c r="P63" i="23"/>
  <c r="Y31" i="23" l="1"/>
  <c r="Z34" i="23"/>
  <c r="W33" i="23"/>
  <c r="W34" i="23" s="1"/>
  <c r="Y33" i="23"/>
  <c r="Y32" i="23"/>
  <c r="Y34" i="23" l="1"/>
  <c r="P73" i="20"/>
  <c r="P114" i="20" s="1"/>
  <c r="AG22" i="11"/>
  <c r="AH22" i="11"/>
  <c r="P79" i="20"/>
  <c r="P119" i="20" s="1"/>
  <c r="Q79" i="20"/>
  <c r="I79" i="20"/>
  <c r="I119" i="20" s="1"/>
  <c r="Q134" i="20"/>
  <c r="Q132" i="20"/>
  <c r="P133" i="20"/>
  <c r="Q133" i="20"/>
  <c r="P134" i="20"/>
  <c r="P137" i="20"/>
  <c r="Q137" i="20"/>
  <c r="S135" i="20"/>
  <c r="S131" i="20" l="1"/>
  <c r="J135" i="20"/>
  <c r="R135" i="20"/>
  <c r="E135" i="20"/>
  <c r="E131" i="20" s="1"/>
  <c r="E152" i="20" s="1"/>
  <c r="Q135" i="20"/>
  <c r="Q131" i="20" s="1"/>
  <c r="P135" i="20"/>
  <c r="AQ45" i="20" l="1"/>
  <c r="Q69" i="20" s="1"/>
  <c r="AS45" i="20"/>
  <c r="S69" i="20" s="1"/>
  <c r="S152" i="20"/>
  <c r="S145" i="20"/>
  <c r="R131" i="20"/>
  <c r="J131" i="20"/>
  <c r="P131" i="20"/>
  <c r="S155" i="20"/>
  <c r="S154" i="20"/>
  <c r="E145" i="20"/>
  <c r="E154" i="20"/>
  <c r="Q30" i="20"/>
  <c r="Q66" i="20"/>
  <c r="S77" i="20"/>
  <c r="S117" i="20" s="1"/>
  <c r="AP45" i="20" l="1"/>
  <c r="P69" i="20" s="1"/>
  <c r="P145" i="20"/>
  <c r="P152" i="20"/>
  <c r="AR45" i="20"/>
  <c r="R69" i="20" s="1"/>
  <c r="R145" i="20"/>
  <c r="R152" i="20"/>
  <c r="R155" i="20" s="1"/>
  <c r="J145" i="20"/>
  <c r="J152" i="20"/>
  <c r="J154" i="20" s="1"/>
  <c r="AJ45" i="20"/>
  <c r="J69" i="20" s="1"/>
  <c r="P154" i="20"/>
  <c r="P155" i="20"/>
  <c r="J155" i="20"/>
  <c r="Q121" i="20"/>
  <c r="Q114" i="20"/>
  <c r="Q122" i="20"/>
  <c r="Q119" i="20"/>
  <c r="Q144" i="20"/>
  <c r="R77" i="20"/>
  <c r="R117" i="20" s="1"/>
  <c r="R98" i="20"/>
  <c r="R106" i="20"/>
  <c r="J106" i="20"/>
  <c r="J98" i="20"/>
  <c r="J77" i="20"/>
  <c r="J117" i="20" s="1"/>
  <c r="E106" i="20"/>
  <c r="H106" i="20"/>
  <c r="F106" i="20"/>
  <c r="G106" i="20"/>
  <c r="E98" i="20"/>
  <c r="F98" i="20"/>
  <c r="G98" i="20"/>
  <c r="H98" i="20"/>
  <c r="G77" i="20"/>
  <c r="G117" i="20" s="1"/>
  <c r="H77" i="20"/>
  <c r="H117" i="20" s="1"/>
  <c r="F77" i="20"/>
  <c r="F117" i="20" s="1"/>
  <c r="E77" i="20"/>
  <c r="E117" i="20" s="1"/>
  <c r="N98" i="20"/>
  <c r="N106" i="20"/>
  <c r="N77" i="20"/>
  <c r="N117" i="20" s="1"/>
  <c r="Q36" i="20"/>
  <c r="Q77" i="20"/>
  <c r="Q117" i="20" s="1"/>
  <c r="Q35" i="20"/>
  <c r="Q34" i="20"/>
  <c r="Q29" i="20"/>
  <c r="Q28" i="20"/>
  <c r="Q25" i="20"/>
  <c r="Q33" i="20"/>
  <c r="Q32" i="20"/>
  <c r="Q27" i="20"/>
  <c r="Q24" i="20"/>
  <c r="Q151" i="20" l="1"/>
  <c r="Q150" i="20"/>
  <c r="Q152" i="20"/>
  <c r="Q145" i="20"/>
  <c r="R154" i="20"/>
  <c r="J156" i="20"/>
  <c r="J157" i="20"/>
  <c r="J158" i="20"/>
  <c r="Q22" i="20"/>
  <c r="AA62" i="20"/>
  <c r="Q98" i="20"/>
  <c r="Q106" i="20"/>
  <c r="P77" i="20"/>
  <c r="P117" i="20" s="1"/>
  <c r="Q154" i="20" l="1"/>
  <c r="Q155" i="20"/>
  <c r="T80" i="20"/>
  <c r="T120" i="20" s="1"/>
  <c r="U80" i="20"/>
  <c r="U120" i="20" s="1"/>
  <c r="O80" i="20"/>
  <c r="O120" i="20" s="1"/>
  <c r="M80" i="20"/>
  <c r="K80" i="20"/>
  <c r="L80" i="20"/>
  <c r="R80" i="20"/>
  <c r="R120" i="20" s="1"/>
  <c r="S80" i="20"/>
  <c r="S120" i="20" s="1"/>
  <c r="J80" i="20"/>
  <c r="G80" i="20"/>
  <c r="H80" i="20"/>
  <c r="E80" i="20"/>
  <c r="F80" i="20"/>
  <c r="Q80" i="20"/>
  <c r="Q120" i="20" s="1"/>
  <c r="N80" i="20"/>
  <c r="N120" i="20" s="1"/>
  <c r="I80" i="20"/>
  <c r="P80" i="20"/>
  <c r="P120" i="20" s="1"/>
  <c r="P24" i="20" l="1"/>
  <c r="P25" i="20"/>
  <c r="P26" i="20"/>
  <c r="P27" i="20"/>
  <c r="P28" i="20"/>
  <c r="P29" i="20"/>
  <c r="P30" i="20"/>
  <c r="P32" i="20"/>
  <c r="P33" i="20"/>
  <c r="P34" i="20"/>
  <c r="P35" i="20"/>
  <c r="P36" i="20"/>
  <c r="P22" i="20" l="1"/>
  <c r="U61" i="11" l="1"/>
  <c r="U62" i="11"/>
  <c r="AA60" i="20"/>
  <c r="AC32" i="20"/>
  <c r="D31" i="20"/>
  <c r="D22" i="20"/>
  <c r="D11" i="20"/>
  <c r="D15" i="20"/>
  <c r="H50" i="20" l="1"/>
  <c r="G50" i="20"/>
  <c r="I50" i="20"/>
  <c r="S31" i="20"/>
  <c r="S21" i="20" s="1"/>
  <c r="U31" i="20"/>
  <c r="U21" i="20" s="1"/>
  <c r="T31" i="20"/>
  <c r="T21" i="20" s="1"/>
  <c r="O31" i="20"/>
  <c r="O21" i="20" s="1"/>
  <c r="K31" i="20"/>
  <c r="K21" i="20" s="1"/>
  <c r="K87" i="20" s="1"/>
  <c r="M31" i="20"/>
  <c r="M21" i="20" s="1"/>
  <c r="M88" i="20" s="1"/>
  <c r="L31" i="20"/>
  <c r="L21" i="20" s="1"/>
  <c r="L88" i="20" s="1"/>
  <c r="O50" i="20"/>
  <c r="O49" i="20" s="1"/>
  <c r="O40" i="20" s="1"/>
  <c r="P50" i="20"/>
  <c r="P49" i="20" s="1"/>
  <c r="P40" i="20" s="1"/>
  <c r="T105" i="20"/>
  <c r="O97" i="20"/>
  <c r="O76" i="20"/>
  <c r="O116" i="20" s="1"/>
  <c r="U105" i="20"/>
  <c r="T97" i="20"/>
  <c r="U97" i="20"/>
  <c r="T76" i="20"/>
  <c r="T116" i="20" s="1"/>
  <c r="U76" i="20"/>
  <c r="U116" i="20" s="1"/>
  <c r="O105" i="20"/>
  <c r="M105" i="20"/>
  <c r="K105" i="20"/>
  <c r="L105" i="20"/>
  <c r="L97" i="20"/>
  <c r="L76" i="20"/>
  <c r="L116" i="20" s="1"/>
  <c r="K97" i="20"/>
  <c r="M97" i="20"/>
  <c r="K76" i="20"/>
  <c r="K116" i="20" s="1"/>
  <c r="M76" i="20"/>
  <c r="M116" i="20" s="1"/>
  <c r="O107" i="20"/>
  <c r="O99" i="20"/>
  <c r="O78" i="20"/>
  <c r="O118" i="20" s="1"/>
  <c r="T107" i="20"/>
  <c r="U107" i="20"/>
  <c r="U78" i="20"/>
  <c r="U118" i="20" s="1"/>
  <c r="T99" i="20"/>
  <c r="U99" i="20"/>
  <c r="T78" i="20"/>
  <c r="T118" i="20" s="1"/>
  <c r="K99" i="20"/>
  <c r="L99" i="20"/>
  <c r="K107" i="20"/>
  <c r="M78" i="20"/>
  <c r="L107" i="20"/>
  <c r="M107" i="20"/>
  <c r="L78" i="20"/>
  <c r="K78" i="20"/>
  <c r="M99" i="20"/>
  <c r="T50" i="20"/>
  <c r="T49" i="20" s="1"/>
  <c r="T40" i="20" s="1"/>
  <c r="T39" i="20" s="1"/>
  <c r="U50" i="20"/>
  <c r="U49" i="20" s="1"/>
  <c r="U40" i="20" s="1"/>
  <c r="U39" i="20" s="1"/>
  <c r="L50" i="20"/>
  <c r="M50" i="20"/>
  <c r="K50" i="20"/>
  <c r="R50" i="20"/>
  <c r="R49" i="20" s="1"/>
  <c r="R40" i="20" s="1"/>
  <c r="S50" i="20"/>
  <c r="S49" i="20" s="1"/>
  <c r="S40" i="20" s="1"/>
  <c r="S39" i="20" s="1"/>
  <c r="Q50" i="20"/>
  <c r="Q49" i="20" s="1"/>
  <c r="Q40" i="20" s="1"/>
  <c r="N50" i="20"/>
  <c r="F50" i="20"/>
  <c r="J50" i="20"/>
  <c r="P97" i="20"/>
  <c r="P105" i="20"/>
  <c r="P99" i="20"/>
  <c r="P107" i="20"/>
  <c r="P103" i="20"/>
  <c r="S37" i="20"/>
  <c r="S87" i="20"/>
  <c r="S88" i="20"/>
  <c r="S103" i="20"/>
  <c r="S78" i="20"/>
  <c r="S118" i="20" s="1"/>
  <c r="S99" i="20"/>
  <c r="S107" i="20"/>
  <c r="S76" i="20"/>
  <c r="S116" i="20" s="1"/>
  <c r="S97" i="20"/>
  <c r="S105" i="20"/>
  <c r="S63" i="20"/>
  <c r="R76" i="20"/>
  <c r="R116" i="20" s="1"/>
  <c r="R105" i="20"/>
  <c r="R97" i="20"/>
  <c r="R103" i="20"/>
  <c r="R78" i="20"/>
  <c r="R118" i="20" s="1"/>
  <c r="R99" i="20"/>
  <c r="R107" i="20"/>
  <c r="D21" i="20"/>
  <c r="J31" i="20"/>
  <c r="J21" i="20" s="1"/>
  <c r="J37" i="20" s="1"/>
  <c r="J65" i="20" s="1"/>
  <c r="R31" i="20"/>
  <c r="J103" i="20"/>
  <c r="J97" i="20"/>
  <c r="J105" i="20"/>
  <c r="J99" i="20"/>
  <c r="J107" i="20"/>
  <c r="J76" i="20"/>
  <c r="J116" i="20" s="1"/>
  <c r="J78" i="20"/>
  <c r="E99" i="20"/>
  <c r="F99" i="20"/>
  <c r="H99" i="20"/>
  <c r="E107" i="20"/>
  <c r="F107" i="20"/>
  <c r="G99" i="20"/>
  <c r="H107" i="20"/>
  <c r="G107" i="20"/>
  <c r="E97" i="20"/>
  <c r="H97" i="20"/>
  <c r="E105" i="20"/>
  <c r="F105" i="20"/>
  <c r="F97" i="20"/>
  <c r="G105" i="20"/>
  <c r="G97" i="20"/>
  <c r="H105" i="20"/>
  <c r="E95" i="20"/>
  <c r="G103" i="20"/>
  <c r="E103" i="20"/>
  <c r="H103" i="20"/>
  <c r="G76" i="20"/>
  <c r="G116" i="20" s="1"/>
  <c r="H76" i="20"/>
  <c r="H116" i="20" s="1"/>
  <c r="E76" i="20"/>
  <c r="E116" i="20" s="1"/>
  <c r="F76" i="20"/>
  <c r="F116" i="20" s="1"/>
  <c r="E78" i="20"/>
  <c r="F78" i="20"/>
  <c r="H78" i="20"/>
  <c r="G78" i="20"/>
  <c r="E50" i="20"/>
  <c r="E49" i="20" s="1"/>
  <c r="E40" i="20" s="1"/>
  <c r="AA57" i="20"/>
  <c r="N103" i="20"/>
  <c r="N105" i="20"/>
  <c r="N97" i="20"/>
  <c r="N99" i="20"/>
  <c r="N107" i="20"/>
  <c r="N76" i="20"/>
  <c r="N116" i="20" s="1"/>
  <c r="N78" i="20"/>
  <c r="N118" i="20" s="1"/>
  <c r="Q31" i="20"/>
  <c r="Q21" i="20" s="1"/>
  <c r="I97" i="20"/>
  <c r="Q76" i="20"/>
  <c r="Q116" i="20" s="1"/>
  <c r="Q105" i="20"/>
  <c r="P76" i="20"/>
  <c r="P116" i="20" s="1"/>
  <c r="Q97" i="20"/>
  <c r="Q78" i="20"/>
  <c r="Q118" i="20" s="1"/>
  <c r="Q99" i="20"/>
  <c r="Q107" i="20"/>
  <c r="P78" i="20"/>
  <c r="P118" i="20" s="1"/>
  <c r="Q103" i="20"/>
  <c r="I78" i="20"/>
  <c r="I106" i="20"/>
  <c r="I77" i="20"/>
  <c r="I117" i="20" s="1"/>
  <c r="P31" i="20"/>
  <c r="P21" i="20" s="1"/>
  <c r="I76" i="20"/>
  <c r="I116" i="20" s="1"/>
  <c r="I105" i="20"/>
  <c r="I98" i="20"/>
  <c r="I107" i="20"/>
  <c r="I99" i="20"/>
  <c r="J67" i="20" l="1"/>
  <c r="J68" i="20" s="1"/>
  <c r="J63" i="20" s="1"/>
  <c r="L37" i="20"/>
  <c r="L65" i="20" s="1"/>
  <c r="L67" i="20" s="1"/>
  <c r="L68" i="20" s="1"/>
  <c r="L63" i="20" s="1"/>
  <c r="M87" i="20"/>
  <c r="M37" i="20"/>
  <c r="M65" i="20" s="1"/>
  <c r="M67" i="20" s="1"/>
  <c r="M68" i="20" s="1"/>
  <c r="M63" i="20" s="1"/>
  <c r="K37" i="20"/>
  <c r="K65" i="20" s="1"/>
  <c r="K67" i="20" s="1"/>
  <c r="K68" i="20" s="1"/>
  <c r="K63" i="20" s="1"/>
  <c r="K88" i="20"/>
  <c r="O37" i="20"/>
  <c r="O65" i="20" s="1"/>
  <c r="O87" i="20"/>
  <c r="O88" i="20"/>
  <c r="T37" i="20"/>
  <c r="T71" i="20" s="1"/>
  <c r="T87" i="20"/>
  <c r="T88" i="20"/>
  <c r="U37" i="20"/>
  <c r="U71" i="20" s="1"/>
  <c r="U88" i="20"/>
  <c r="U87" i="20"/>
  <c r="L87" i="20"/>
  <c r="U104" i="20"/>
  <c r="O96" i="20"/>
  <c r="O75" i="20"/>
  <c r="O115" i="20" s="1"/>
  <c r="T96" i="20"/>
  <c r="O104" i="20"/>
  <c r="T104" i="20"/>
  <c r="U96" i="20"/>
  <c r="U92" i="20"/>
  <c r="T92" i="20"/>
  <c r="T75" i="20"/>
  <c r="T115" i="20" s="1"/>
  <c r="U75" i="20"/>
  <c r="U115" i="20" s="1"/>
  <c r="K104" i="20"/>
  <c r="L104" i="20"/>
  <c r="M104" i="20"/>
  <c r="L75" i="20"/>
  <c r="L115" i="20" s="1"/>
  <c r="M75" i="20"/>
  <c r="M115" i="20" s="1"/>
  <c r="K96" i="20"/>
  <c r="L96" i="20"/>
  <c r="K75" i="20"/>
  <c r="K115" i="20" s="1"/>
  <c r="M96" i="20"/>
  <c r="S71" i="20"/>
  <c r="P96" i="20"/>
  <c r="P104" i="20"/>
  <c r="P87" i="20"/>
  <c r="P88" i="20"/>
  <c r="S75" i="20"/>
  <c r="S115" i="20" s="1"/>
  <c r="S96" i="20"/>
  <c r="S104" i="20"/>
  <c r="J88" i="20"/>
  <c r="J87" i="20"/>
  <c r="R75" i="20"/>
  <c r="R115" i="20" s="1"/>
  <c r="R96" i="20"/>
  <c r="R104" i="20"/>
  <c r="J49" i="20"/>
  <c r="J40" i="20" s="1"/>
  <c r="Q37" i="20"/>
  <c r="Q65" i="20" s="1"/>
  <c r="Q67" i="20" s="1"/>
  <c r="Q68" i="20" s="1"/>
  <c r="Q63" i="20" s="1"/>
  <c r="Q39" i="20" s="1"/>
  <c r="R21" i="20"/>
  <c r="J104" i="20"/>
  <c r="J96" i="20"/>
  <c r="J75" i="20"/>
  <c r="J115" i="20" s="1"/>
  <c r="E104" i="20"/>
  <c r="E96" i="20"/>
  <c r="F104" i="20"/>
  <c r="H104" i="20"/>
  <c r="F96" i="20"/>
  <c r="G104" i="20"/>
  <c r="H96" i="20"/>
  <c r="G96" i="20"/>
  <c r="G75" i="20"/>
  <c r="G115" i="20" s="1"/>
  <c r="E75" i="20"/>
  <c r="E115" i="20" s="1"/>
  <c r="F75" i="20"/>
  <c r="F115" i="20" s="1"/>
  <c r="H75" i="20"/>
  <c r="H115" i="20" s="1"/>
  <c r="N104" i="20"/>
  <c r="N96" i="20"/>
  <c r="N75" i="20"/>
  <c r="N115" i="20" s="1"/>
  <c r="Q87" i="20"/>
  <c r="Q88" i="20"/>
  <c r="Q75" i="20"/>
  <c r="Q115" i="20" s="1"/>
  <c r="Q104" i="20"/>
  <c r="Q96" i="20"/>
  <c r="P75" i="20"/>
  <c r="P115" i="20" s="1"/>
  <c r="P37" i="20"/>
  <c r="P65" i="20" s="1"/>
  <c r="I96" i="20"/>
  <c r="I75" i="20"/>
  <c r="I115" i="20" s="1"/>
  <c r="I104" i="20"/>
  <c r="T72" i="20" l="1"/>
  <c r="T83" i="20" s="1"/>
  <c r="T113" i="20" s="1"/>
  <c r="T86" i="20"/>
  <c r="T93" i="20" s="1"/>
  <c r="T91" i="20" s="1"/>
  <c r="U86" i="20"/>
  <c r="U93" i="20" s="1"/>
  <c r="U91" i="20" s="1"/>
  <c r="J39" i="20"/>
  <c r="J71" i="20" s="1"/>
  <c r="J72" i="20" s="1"/>
  <c r="J83" i="20" s="1"/>
  <c r="R84" i="28" s="1"/>
  <c r="O67" i="20"/>
  <c r="O68" i="20" s="1"/>
  <c r="P67" i="20"/>
  <c r="P68" i="20" s="1"/>
  <c r="P63" i="20" s="1"/>
  <c r="P39" i="20" s="1"/>
  <c r="U72" i="20"/>
  <c r="U83" i="20" s="1"/>
  <c r="U110" i="20" s="1"/>
  <c r="S72" i="20"/>
  <c r="S83" i="20" s="1"/>
  <c r="S92" i="20"/>
  <c r="R37" i="20"/>
  <c r="R65" i="20" s="1"/>
  <c r="R67" i="20" s="1"/>
  <c r="R68" i="20" s="1"/>
  <c r="R63" i="20" s="1"/>
  <c r="R39" i="20" s="1"/>
  <c r="R87" i="20"/>
  <c r="R88" i="20"/>
  <c r="P60" i="11"/>
  <c r="P89" i="11" s="1"/>
  <c r="O60" i="11"/>
  <c r="Q71" i="20"/>
  <c r="T123" i="20" l="1"/>
  <c r="T125" i="20" s="1"/>
  <c r="T112" i="20"/>
  <c r="T111" i="20"/>
  <c r="J92" i="20"/>
  <c r="T110" i="20"/>
  <c r="U94" i="20"/>
  <c r="U102" i="20" s="1"/>
  <c r="T94" i="20"/>
  <c r="T102" i="20" s="1"/>
  <c r="S86" i="20"/>
  <c r="S93" i="20" s="1"/>
  <c r="S91" i="20" s="1"/>
  <c r="S89" i="20" s="1"/>
  <c r="S90" i="20" s="1"/>
  <c r="J86" i="20"/>
  <c r="O63" i="20"/>
  <c r="O39" i="20" s="1"/>
  <c r="O92" i="20" s="1"/>
  <c r="O86" i="20" s="1"/>
  <c r="T89" i="20"/>
  <c r="T90" i="20" s="1"/>
  <c r="U113" i="20"/>
  <c r="U112" i="20"/>
  <c r="U123" i="20"/>
  <c r="U125" i="20" s="1"/>
  <c r="U111" i="20"/>
  <c r="U89" i="20"/>
  <c r="U90" i="20" s="1"/>
  <c r="P92" i="20"/>
  <c r="P86" i="20" s="1"/>
  <c r="Q72" i="20"/>
  <c r="AR92" i="20"/>
  <c r="R71" i="20"/>
  <c r="R92" i="20"/>
  <c r="R86" i="20" s="1"/>
  <c r="O88" i="11"/>
  <c r="O89" i="11"/>
  <c r="O87" i="11"/>
  <c r="P88" i="11"/>
  <c r="P87" i="11"/>
  <c r="Q92" i="20"/>
  <c r="L69" i="18"/>
  <c r="E46" i="18"/>
  <c r="E47" i="18"/>
  <c r="Q42" i="18"/>
  <c r="T124" i="20" l="1"/>
  <c r="O71" i="20"/>
  <c r="O72" i="20" s="1"/>
  <c r="O83" i="20" s="1"/>
  <c r="O123" i="20" s="1"/>
  <c r="O125" i="20" s="1"/>
  <c r="S94" i="20"/>
  <c r="S102" i="20" s="1"/>
  <c r="Q86" i="20"/>
  <c r="Q93" i="20" s="1"/>
  <c r="Q91" i="20" s="1"/>
  <c r="Q89" i="20" s="1"/>
  <c r="Q90" i="20" s="1"/>
  <c r="J93" i="20"/>
  <c r="J91" i="20" s="1"/>
  <c r="J89" i="20" s="1"/>
  <c r="J90" i="20" s="1"/>
  <c r="U124" i="20"/>
  <c r="O112" i="20"/>
  <c r="O113" i="20"/>
  <c r="O110" i="20"/>
  <c r="O111" i="20"/>
  <c r="O93" i="20"/>
  <c r="O91" i="20" s="1"/>
  <c r="O89" i="20" s="1"/>
  <c r="O90" i="20" s="1"/>
  <c r="P193" i="11"/>
  <c r="O193" i="11"/>
  <c r="AC66" i="20"/>
  <c r="P71" i="20"/>
  <c r="P72" i="20" s="1"/>
  <c r="P83" i="20" s="1"/>
  <c r="AO92" i="20" s="1"/>
  <c r="S111" i="20"/>
  <c r="S112" i="20"/>
  <c r="S113" i="20"/>
  <c r="S123" i="20"/>
  <c r="S125" i="20" s="1"/>
  <c r="S110" i="20"/>
  <c r="J113" i="20"/>
  <c r="J110" i="20"/>
  <c r="J112" i="20"/>
  <c r="J123" i="20"/>
  <c r="J125" i="20" s="1"/>
  <c r="J111" i="20"/>
  <c r="P93" i="20"/>
  <c r="R72" i="20"/>
  <c r="R93" i="20"/>
  <c r="R91" i="20" s="1"/>
  <c r="P90" i="11"/>
  <c r="O90" i="11"/>
  <c r="Q83" i="20"/>
  <c r="AP92" i="20" s="1"/>
  <c r="F61" i="18"/>
  <c r="F57" i="18"/>
  <c r="G57" i="18"/>
  <c r="H57" i="18"/>
  <c r="I57" i="18"/>
  <c r="F58" i="18"/>
  <c r="G58" i="18"/>
  <c r="H58" i="18"/>
  <c r="I58" i="18"/>
  <c r="F59" i="18"/>
  <c r="G59" i="18"/>
  <c r="H59" i="18"/>
  <c r="I59" i="18"/>
  <c r="F60" i="18"/>
  <c r="G60" i="18"/>
  <c r="H60" i="18"/>
  <c r="I60" i="18"/>
  <c r="G61" i="18"/>
  <c r="H61" i="18"/>
  <c r="I61" i="18"/>
  <c r="F62" i="18"/>
  <c r="G62" i="18"/>
  <c r="H62" i="18"/>
  <c r="I62" i="18"/>
  <c r="E58" i="18"/>
  <c r="E59" i="18"/>
  <c r="E60" i="18"/>
  <c r="E61" i="18"/>
  <c r="E62" i="18"/>
  <c r="E57" i="18"/>
  <c r="Q43" i="18"/>
  <c r="F45" i="18"/>
  <c r="I86" i="18"/>
  <c r="G24" i="18"/>
  <c r="G27" i="18"/>
  <c r="L66" i="18"/>
  <c r="E90" i="18" s="1"/>
  <c r="R42" i="18"/>
  <c r="T42" i="18"/>
  <c r="T43" i="18"/>
  <c r="S43" i="18"/>
  <c r="S42" i="18"/>
  <c r="R43" i="18"/>
  <c r="I36" i="18"/>
  <c r="H24" i="18"/>
  <c r="I24" i="18"/>
  <c r="G25" i="18"/>
  <c r="H25" i="18"/>
  <c r="I25" i="18"/>
  <c r="G26" i="18"/>
  <c r="H26" i="18"/>
  <c r="I26" i="18"/>
  <c r="H27" i="18"/>
  <c r="I27" i="18"/>
  <c r="G28" i="18"/>
  <c r="H28" i="18"/>
  <c r="I28" i="18"/>
  <c r="G29" i="18"/>
  <c r="H29" i="18"/>
  <c r="I29" i="18"/>
  <c r="G30" i="18"/>
  <c r="H30" i="18"/>
  <c r="I30" i="18"/>
  <c r="G32" i="18"/>
  <c r="H32" i="18"/>
  <c r="I32" i="18"/>
  <c r="G33" i="18"/>
  <c r="H33" i="18"/>
  <c r="I33" i="18"/>
  <c r="G34" i="18"/>
  <c r="H34" i="18"/>
  <c r="I34" i="18"/>
  <c r="G35" i="18"/>
  <c r="H35" i="18"/>
  <c r="I35" i="18"/>
  <c r="G36" i="18"/>
  <c r="H36" i="18"/>
  <c r="G52" i="18"/>
  <c r="H52" i="18"/>
  <c r="I52" i="18"/>
  <c r="F52" i="18"/>
  <c r="E15" i="18"/>
  <c r="E52" i="18"/>
  <c r="P94" i="20" l="1"/>
  <c r="P91" i="20"/>
  <c r="P89" i="20" s="1"/>
  <c r="P90" i="20" s="1"/>
  <c r="Q94" i="20"/>
  <c r="Q102" i="20" s="1"/>
  <c r="R94" i="20"/>
  <c r="R102" i="20" s="1"/>
  <c r="J94" i="20"/>
  <c r="J102" i="20" s="1"/>
  <c r="O94" i="20"/>
  <c r="O102" i="20" s="1"/>
  <c r="O124" i="20"/>
  <c r="P102" i="20"/>
  <c r="E23" i="20"/>
  <c r="AD66" i="20"/>
  <c r="Q113" i="20"/>
  <c r="Q110" i="20"/>
  <c r="Q123" i="20"/>
  <c r="Q125" i="20" s="1"/>
  <c r="Q112" i="20"/>
  <c r="Q111" i="20"/>
  <c r="S124" i="20"/>
  <c r="J124" i="20"/>
  <c r="R83" i="20"/>
  <c r="AQ92" i="20" s="1"/>
  <c r="R89" i="20"/>
  <c r="R90" i="20" s="1"/>
  <c r="E66" i="18"/>
  <c r="E101" i="18" s="1"/>
  <c r="F66" i="18"/>
  <c r="F101" i="18" s="1"/>
  <c r="H69" i="18"/>
  <c r="H104" i="18" s="1"/>
  <c r="F69" i="18"/>
  <c r="F104" i="18" s="1"/>
  <c r="I66" i="18"/>
  <c r="I101" i="18" s="1"/>
  <c r="H66" i="18"/>
  <c r="H101" i="18" s="1"/>
  <c r="G69" i="18"/>
  <c r="G104" i="18" s="1"/>
  <c r="G66" i="18"/>
  <c r="G101" i="18" s="1"/>
  <c r="E69" i="18"/>
  <c r="E104" i="18" s="1"/>
  <c r="I69" i="18"/>
  <c r="I104" i="18" s="1"/>
  <c r="E83" i="18"/>
  <c r="G93" i="18"/>
  <c r="G86" i="18"/>
  <c r="H93" i="18"/>
  <c r="I93" i="18"/>
  <c r="H86" i="18"/>
  <c r="E86" i="18"/>
  <c r="F86" i="18"/>
  <c r="F93" i="18"/>
  <c r="E93" i="18"/>
  <c r="G22" i="18"/>
  <c r="H22" i="18"/>
  <c r="I31" i="18"/>
  <c r="H31" i="18"/>
  <c r="I22" i="18"/>
  <c r="G31" i="18"/>
  <c r="G44" i="18"/>
  <c r="G43" i="18"/>
  <c r="H43" i="18"/>
  <c r="I43" i="18"/>
  <c r="F44" i="18"/>
  <c r="H44" i="18"/>
  <c r="I44" i="18"/>
  <c r="G45" i="18"/>
  <c r="H45" i="18"/>
  <c r="I45" i="18"/>
  <c r="F46" i="18"/>
  <c r="G46" i="18"/>
  <c r="H46" i="18"/>
  <c r="I46" i="18"/>
  <c r="F47" i="18"/>
  <c r="G47" i="18"/>
  <c r="H47" i="18"/>
  <c r="I47" i="18"/>
  <c r="F48" i="18"/>
  <c r="G48" i="18"/>
  <c r="H48" i="18"/>
  <c r="I48" i="18"/>
  <c r="F43" i="18"/>
  <c r="F41" i="18"/>
  <c r="R41" i="18"/>
  <c r="G41" i="18" s="1"/>
  <c r="S41" i="18"/>
  <c r="H41" i="18" s="1"/>
  <c r="T41" i="18"/>
  <c r="I41" i="18" s="1"/>
  <c r="E24" i="20" l="1"/>
  <c r="E26" i="20"/>
  <c r="E28" i="20"/>
  <c r="E30" i="20"/>
  <c r="E33" i="20"/>
  <c r="E35" i="20"/>
  <c r="E25" i="20"/>
  <c r="E27" i="20"/>
  <c r="E29" i="20"/>
  <c r="E32" i="20"/>
  <c r="E34" i="20"/>
  <c r="E36" i="20"/>
  <c r="E31" i="20"/>
  <c r="R111" i="20"/>
  <c r="R113" i="20"/>
  <c r="R123" i="20"/>
  <c r="R125" i="20" s="1"/>
  <c r="R110" i="20"/>
  <c r="R112" i="20"/>
  <c r="P113" i="20"/>
  <c r="P111" i="20"/>
  <c r="P123" i="20"/>
  <c r="P125" i="20" s="1"/>
  <c r="P110" i="20"/>
  <c r="P112" i="20"/>
  <c r="Q124" i="20"/>
  <c r="I21" i="18"/>
  <c r="I75" i="18" s="1"/>
  <c r="H21" i="18"/>
  <c r="G21" i="18"/>
  <c r="E41" i="18"/>
  <c r="F24" i="18"/>
  <c r="F25" i="18"/>
  <c r="F26" i="18"/>
  <c r="F27" i="18"/>
  <c r="F28" i="18"/>
  <c r="F29" i="18"/>
  <c r="F30" i="18"/>
  <c r="F32" i="18"/>
  <c r="F33" i="18"/>
  <c r="F34" i="18"/>
  <c r="F35" i="18"/>
  <c r="F36" i="18"/>
  <c r="E33" i="18"/>
  <c r="E34" i="18"/>
  <c r="E35" i="18"/>
  <c r="E36" i="18"/>
  <c r="E32" i="18"/>
  <c r="E25" i="18"/>
  <c r="E26" i="18"/>
  <c r="E27" i="18"/>
  <c r="E28" i="18"/>
  <c r="E29" i="18"/>
  <c r="E30" i="18"/>
  <c r="E24" i="18"/>
  <c r="E43" i="18"/>
  <c r="E44" i="18"/>
  <c r="E45" i="18"/>
  <c r="E48" i="18"/>
  <c r="L42" i="18"/>
  <c r="G42" i="18" s="1"/>
  <c r="L70" i="18"/>
  <c r="L68" i="18"/>
  <c r="E22" i="20" l="1"/>
  <c r="E21" i="20"/>
  <c r="P124" i="20"/>
  <c r="R124" i="20"/>
  <c r="G37" i="18"/>
  <c r="G75" i="18"/>
  <c r="H37" i="18"/>
  <c r="H75" i="18"/>
  <c r="H51" i="18" s="1"/>
  <c r="E68" i="18"/>
  <c r="E103" i="18" s="1"/>
  <c r="G68" i="18"/>
  <c r="G103" i="18" s="1"/>
  <c r="F68" i="18"/>
  <c r="F103" i="18" s="1"/>
  <c r="I68" i="18"/>
  <c r="I103" i="18" s="1"/>
  <c r="H68" i="18"/>
  <c r="H103" i="18" s="1"/>
  <c r="I70" i="18"/>
  <c r="I105" i="18" s="1"/>
  <c r="F70" i="18"/>
  <c r="F105" i="18" s="1"/>
  <c r="H70" i="18"/>
  <c r="H105" i="18" s="1"/>
  <c r="G70" i="18"/>
  <c r="G105" i="18" s="1"/>
  <c r="E70" i="18"/>
  <c r="E105" i="18" s="1"/>
  <c r="I76" i="18"/>
  <c r="I37" i="18"/>
  <c r="I85" i="18"/>
  <c r="H92" i="18"/>
  <c r="G85" i="18"/>
  <c r="H85" i="18"/>
  <c r="G92" i="18"/>
  <c r="I92" i="18"/>
  <c r="I87" i="18"/>
  <c r="G87" i="18"/>
  <c r="H94" i="18"/>
  <c r="G94" i="18"/>
  <c r="H87" i="18"/>
  <c r="I94" i="18"/>
  <c r="G83" i="18"/>
  <c r="H83" i="18"/>
  <c r="I90" i="18"/>
  <c r="G90" i="18"/>
  <c r="I83" i="18"/>
  <c r="H90" i="18"/>
  <c r="F94" i="18"/>
  <c r="E94" i="18"/>
  <c r="E92" i="18"/>
  <c r="F92" i="18"/>
  <c r="F90" i="18"/>
  <c r="F85" i="18"/>
  <c r="F83" i="18"/>
  <c r="E85" i="18"/>
  <c r="F87" i="18"/>
  <c r="E87" i="18"/>
  <c r="I51" i="18"/>
  <c r="I53" i="18" s="1"/>
  <c r="I54" i="18" s="1"/>
  <c r="G76" i="18"/>
  <c r="H76" i="18"/>
  <c r="E42" i="18"/>
  <c r="H42" i="18"/>
  <c r="F42" i="18"/>
  <c r="G40" i="18"/>
  <c r="I42" i="18"/>
  <c r="E31" i="18"/>
  <c r="E22" i="18"/>
  <c r="F22" i="18"/>
  <c r="F31" i="18"/>
  <c r="L67" i="18"/>
  <c r="E84" i="18" s="1"/>
  <c r="E37" i="20" l="1"/>
  <c r="E65" i="20" s="1"/>
  <c r="E88" i="20"/>
  <c r="E87" i="20"/>
  <c r="H40" i="18"/>
  <c r="I40" i="18"/>
  <c r="F40" i="18"/>
  <c r="E40" i="18"/>
  <c r="G51" i="18"/>
  <c r="G53" i="18" s="1"/>
  <c r="G54" i="18" s="1"/>
  <c r="G49" i="18" s="1"/>
  <c r="E67" i="18"/>
  <c r="E102" i="18" s="1"/>
  <c r="F67" i="18"/>
  <c r="F102" i="18" s="1"/>
  <c r="G67" i="18"/>
  <c r="G102" i="18" s="1"/>
  <c r="H67" i="18"/>
  <c r="H102" i="18" s="1"/>
  <c r="I67" i="18"/>
  <c r="I102" i="18" s="1"/>
  <c r="G84" i="18"/>
  <c r="H84" i="18"/>
  <c r="G91" i="18"/>
  <c r="I84" i="18"/>
  <c r="H91" i="18"/>
  <c r="I91" i="18"/>
  <c r="E91" i="18"/>
  <c r="F91" i="18"/>
  <c r="F84" i="18"/>
  <c r="I49" i="18"/>
  <c r="H53" i="18"/>
  <c r="H54" i="18" s="1"/>
  <c r="H49" i="18" s="1"/>
  <c r="E21" i="18"/>
  <c r="E75" i="18" s="1"/>
  <c r="F21" i="18"/>
  <c r="E67" i="20" l="1"/>
  <c r="E68" i="20" s="1"/>
  <c r="E63" i="20" s="1"/>
  <c r="E39" i="20" s="1"/>
  <c r="I39" i="18"/>
  <c r="T58" i="18" s="1"/>
  <c r="G39" i="18"/>
  <c r="R58" i="18" s="1"/>
  <c r="H39" i="18"/>
  <c r="S58" i="18" s="1"/>
  <c r="F37" i="18"/>
  <c r="F75" i="18"/>
  <c r="E37" i="18"/>
  <c r="F76" i="18"/>
  <c r="D31" i="18"/>
  <c r="D22" i="18"/>
  <c r="L19" i="9"/>
  <c r="L20" i="9"/>
  <c r="L4" i="9"/>
  <c r="L9" i="9"/>
  <c r="AT94" i="11"/>
  <c r="AS94" i="11"/>
  <c r="AR94" i="11"/>
  <c r="AQ94" i="11"/>
  <c r="AP94" i="11"/>
  <c r="AO94" i="11"/>
  <c r="AN94" i="11"/>
  <c r="AT93" i="11"/>
  <c r="AS93" i="11"/>
  <c r="AR93" i="11"/>
  <c r="AQ93" i="11"/>
  <c r="AP93" i="11"/>
  <c r="AO93" i="11"/>
  <c r="AN93" i="11"/>
  <c r="E52" i="11"/>
  <c r="G52" i="11"/>
  <c r="E60" i="11"/>
  <c r="G60" i="11"/>
  <c r="AI94" i="11"/>
  <c r="AH94" i="11"/>
  <c r="AG94" i="11"/>
  <c r="AF94" i="11"/>
  <c r="AE94" i="11"/>
  <c r="AD94" i="11"/>
  <c r="AC94" i="11"/>
  <c r="AI93" i="11"/>
  <c r="AH93" i="11"/>
  <c r="AG93" i="11"/>
  <c r="AF93" i="11"/>
  <c r="AE93" i="11"/>
  <c r="AD93" i="11"/>
  <c r="AC93" i="11"/>
  <c r="Y94" i="11"/>
  <c r="S96" i="11"/>
  <c r="X94" i="11"/>
  <c r="W94" i="11"/>
  <c r="V94" i="11"/>
  <c r="U94" i="11"/>
  <c r="T96" i="11"/>
  <c r="Y93" i="11"/>
  <c r="X93" i="11"/>
  <c r="W93" i="11"/>
  <c r="V93" i="11"/>
  <c r="U93" i="11"/>
  <c r="T95" i="11"/>
  <c r="S95" i="11"/>
  <c r="F60" i="11"/>
  <c r="E96" i="11"/>
  <c r="F96" i="11"/>
  <c r="G96" i="11"/>
  <c r="H96" i="11"/>
  <c r="I96" i="11"/>
  <c r="W73" i="11"/>
  <c r="W72" i="11"/>
  <c r="W71" i="11"/>
  <c r="V70" i="11"/>
  <c r="W70" i="11" s="1"/>
  <c r="W69" i="11"/>
  <c r="W68" i="11"/>
  <c r="W67" i="11"/>
  <c r="W66" i="11"/>
  <c r="W65" i="11"/>
  <c r="W64" i="11"/>
  <c r="I95" i="11"/>
  <c r="N80" i="3"/>
  <c r="F53" i="11"/>
  <c r="G53" i="11"/>
  <c r="H53" i="11"/>
  <c r="E53" i="11"/>
  <c r="F52" i="11"/>
  <c r="H52" i="11"/>
  <c r="E95" i="11"/>
  <c r="F95" i="11"/>
  <c r="G95" i="11"/>
  <c r="H95" i="11"/>
  <c r="M210" i="2"/>
  <c r="J89" i="3"/>
  <c r="J81" i="3"/>
  <c r="J82" i="3"/>
  <c r="J83" i="3"/>
  <c r="J84" i="3"/>
  <c r="J85" i="3"/>
  <c r="J87" i="3"/>
  <c r="J88" i="3"/>
  <c r="J80" i="3"/>
  <c r="H195" i="2"/>
  <c r="H65" i="11" l="1"/>
  <c r="G54" i="11"/>
  <c r="H71" i="11"/>
  <c r="H58" i="20"/>
  <c r="G72" i="11"/>
  <c r="M58" i="20"/>
  <c r="H136" i="20"/>
  <c r="G71" i="11"/>
  <c r="G66" i="11"/>
  <c r="H51" i="20"/>
  <c r="G65" i="11"/>
  <c r="G137" i="20"/>
  <c r="F72" i="11"/>
  <c r="G136" i="20"/>
  <c r="F71" i="11"/>
  <c r="F66" i="11"/>
  <c r="G51" i="20"/>
  <c r="F65" i="11"/>
  <c r="K65" i="11"/>
  <c r="F58" i="20"/>
  <c r="J72" i="11"/>
  <c r="J64" i="11" s="1"/>
  <c r="E72" i="11"/>
  <c r="F136" i="20"/>
  <c r="E71" i="11"/>
  <c r="E66" i="11"/>
  <c r="F51" i="20"/>
  <c r="E65" i="11"/>
  <c r="J65" i="11"/>
  <c r="E71" i="20"/>
  <c r="E72" i="20" s="1"/>
  <c r="E83" i="20" s="1"/>
  <c r="E92" i="20"/>
  <c r="E86" i="20" s="1"/>
  <c r="G135" i="20"/>
  <c r="G56" i="20"/>
  <c r="F135" i="20"/>
  <c r="F56" i="20"/>
  <c r="H137" i="20"/>
  <c r="H135" i="20"/>
  <c r="H56" i="20"/>
  <c r="N133" i="20"/>
  <c r="H55" i="20"/>
  <c r="I55" i="20"/>
  <c r="I51" i="20"/>
  <c r="I64" i="18"/>
  <c r="I99" i="18" s="1"/>
  <c r="I80" i="18"/>
  <c r="I74" i="18" s="1"/>
  <c r="I79" i="18" s="1"/>
  <c r="I77" i="18" s="1"/>
  <c r="I78" i="18" s="1"/>
  <c r="H80" i="18"/>
  <c r="H74" i="18" s="1"/>
  <c r="H79" i="18" s="1"/>
  <c r="H77" i="18" s="1"/>
  <c r="H78" i="18" s="1"/>
  <c r="G80" i="18"/>
  <c r="G74" i="18" s="1"/>
  <c r="G81" i="18" s="1"/>
  <c r="G82" i="18" s="1"/>
  <c r="G89" i="18" s="1"/>
  <c r="H64" i="18"/>
  <c r="S56" i="18"/>
  <c r="S52" i="18"/>
  <c r="S57" i="18"/>
  <c r="S50" i="18"/>
  <c r="S55" i="18"/>
  <c r="S53" i="18"/>
  <c r="S54" i="18"/>
  <c r="S51" i="18"/>
  <c r="G64" i="18"/>
  <c r="R50" i="18"/>
  <c r="R52" i="18"/>
  <c r="R57" i="18"/>
  <c r="R55" i="18"/>
  <c r="R53" i="18"/>
  <c r="R54" i="18"/>
  <c r="R56" i="18"/>
  <c r="R51" i="18"/>
  <c r="T50" i="18"/>
  <c r="T53" i="18"/>
  <c r="T56" i="18"/>
  <c r="T52" i="18"/>
  <c r="T55" i="18"/>
  <c r="T57" i="18"/>
  <c r="T54" i="18"/>
  <c r="T51" i="18"/>
  <c r="F51" i="18"/>
  <c r="F53" i="18" s="1"/>
  <c r="F54" i="18" s="1"/>
  <c r="D21" i="18"/>
  <c r="E54" i="11"/>
  <c r="F54" i="11"/>
  <c r="H54" i="11"/>
  <c r="D179" i="2"/>
  <c r="O44" i="9" s="1"/>
  <c r="G37" i="1"/>
  <c r="H37" i="1"/>
  <c r="K67" i="9"/>
  <c r="N131" i="20" l="1"/>
  <c r="N51" i="20"/>
  <c r="M65" i="11"/>
  <c r="M51" i="20"/>
  <c r="L65" i="11"/>
  <c r="J89" i="11"/>
  <c r="J87" i="11"/>
  <c r="J88" i="11"/>
  <c r="N53" i="20"/>
  <c r="G64" i="11"/>
  <c r="G88" i="11" s="1"/>
  <c r="G52" i="20"/>
  <c r="F64" i="11"/>
  <c r="F89" i="11" s="1"/>
  <c r="H57" i="20"/>
  <c r="E89" i="11"/>
  <c r="H72" i="11"/>
  <c r="H52" i="20"/>
  <c r="G58" i="20"/>
  <c r="F137" i="20"/>
  <c r="H66" i="11"/>
  <c r="G57" i="20"/>
  <c r="F57" i="20"/>
  <c r="L58" i="20"/>
  <c r="L51" i="20"/>
  <c r="K51" i="20"/>
  <c r="E93" i="20"/>
  <c r="E94" i="20" s="1"/>
  <c r="E102" i="20" s="1"/>
  <c r="E91" i="20"/>
  <c r="E89" i="20" s="1"/>
  <c r="E90" i="20" s="1"/>
  <c r="E123" i="20"/>
  <c r="E125" i="20" s="1"/>
  <c r="E110" i="20"/>
  <c r="E112" i="20"/>
  <c r="E111" i="20"/>
  <c r="E113" i="20"/>
  <c r="I135" i="20"/>
  <c r="I56" i="20"/>
  <c r="G134" i="20"/>
  <c r="G55" i="20"/>
  <c r="G133" i="20"/>
  <c r="G53" i="20"/>
  <c r="I133" i="20"/>
  <c r="I53" i="20"/>
  <c r="I136" i="20"/>
  <c r="I57" i="20"/>
  <c r="F134" i="20"/>
  <c r="F55" i="20"/>
  <c r="F133" i="20"/>
  <c r="F53" i="20"/>
  <c r="H133" i="20"/>
  <c r="H131" i="20" s="1"/>
  <c r="H53" i="20"/>
  <c r="I137" i="20"/>
  <c r="H134" i="20"/>
  <c r="I134" i="20"/>
  <c r="I65" i="18"/>
  <c r="I71" i="18" s="1"/>
  <c r="G99" i="18"/>
  <c r="G65" i="18"/>
  <c r="H99" i="18"/>
  <c r="H65" i="18"/>
  <c r="G122" i="18"/>
  <c r="G127" i="18"/>
  <c r="G123" i="18"/>
  <c r="G128" i="18"/>
  <c r="G124" i="18"/>
  <c r="G129" i="18"/>
  <c r="G125" i="18"/>
  <c r="G130" i="18"/>
  <c r="G131" i="18"/>
  <c r="G79" i="18"/>
  <c r="G77" i="18" s="1"/>
  <c r="G78" i="18" s="1"/>
  <c r="I81" i="18"/>
  <c r="I82" i="18" s="1"/>
  <c r="I89" i="18" s="1"/>
  <c r="H81" i="18"/>
  <c r="H82" i="18" s="1"/>
  <c r="H89" i="18" s="1"/>
  <c r="F49" i="18"/>
  <c r="E76" i="18"/>
  <c r="E51" i="18"/>
  <c r="AE68" i="9"/>
  <c r="AE67" i="9"/>
  <c r="AE66" i="9"/>
  <c r="AE65" i="9"/>
  <c r="AE64" i="9"/>
  <c r="AH45" i="20" l="1"/>
  <c r="H69" i="20" s="1"/>
  <c r="H145" i="20"/>
  <c r="H152" i="20"/>
  <c r="AN45" i="20"/>
  <c r="N69" i="20" s="1"/>
  <c r="N145" i="20"/>
  <c r="N152" i="20"/>
  <c r="F131" i="20"/>
  <c r="G131" i="20"/>
  <c r="I131" i="20"/>
  <c r="N155" i="20"/>
  <c r="N154" i="20"/>
  <c r="G89" i="11"/>
  <c r="M53" i="20"/>
  <c r="M49" i="20" s="1"/>
  <c r="M40" i="20" s="1"/>
  <c r="M133" i="20"/>
  <c r="L53" i="20"/>
  <c r="L49" i="20" s="1"/>
  <c r="L40" i="20" s="1"/>
  <c r="L133" i="20"/>
  <c r="K53" i="20"/>
  <c r="K133" i="20"/>
  <c r="K58" i="20"/>
  <c r="K137" i="20"/>
  <c r="J193" i="11"/>
  <c r="F88" i="11"/>
  <c r="G87" i="11"/>
  <c r="F87" i="11"/>
  <c r="H49" i="20"/>
  <c r="H40" i="20" s="1"/>
  <c r="N58" i="20"/>
  <c r="N49" i="20" s="1"/>
  <c r="N40" i="20" s="1"/>
  <c r="H64" i="11"/>
  <c r="H88" i="11" s="1"/>
  <c r="I52" i="20"/>
  <c r="G29" i="20"/>
  <c r="F24" i="20"/>
  <c r="G26" i="20"/>
  <c r="G34" i="20"/>
  <c r="G36" i="20"/>
  <c r="E87" i="11"/>
  <c r="E88" i="11"/>
  <c r="E124" i="20"/>
  <c r="N17" i="20"/>
  <c r="N24" i="20"/>
  <c r="N26" i="20"/>
  <c r="N35" i="20"/>
  <c r="N27" i="20"/>
  <c r="N36" i="20"/>
  <c r="N28" i="20"/>
  <c r="N29" i="20"/>
  <c r="N32" i="20"/>
  <c r="N30" i="20"/>
  <c r="N25" i="20"/>
  <c r="N33" i="20"/>
  <c r="N34" i="20"/>
  <c r="N31" i="20"/>
  <c r="I58" i="20"/>
  <c r="G49" i="20"/>
  <c r="G40" i="20" s="1"/>
  <c r="F49" i="20"/>
  <c r="F40" i="20" s="1"/>
  <c r="I100" i="18"/>
  <c r="F39" i="18"/>
  <c r="Q58" i="18" s="1"/>
  <c r="H100" i="18"/>
  <c r="H71" i="18"/>
  <c r="G100" i="18"/>
  <c r="G71" i="18"/>
  <c r="G126" i="18"/>
  <c r="I122" i="18"/>
  <c r="I127" i="18"/>
  <c r="I123" i="18"/>
  <c r="I128" i="18"/>
  <c r="I124" i="18"/>
  <c r="I129" i="18"/>
  <c r="I125" i="18"/>
  <c r="I130" i="18"/>
  <c r="I131" i="18"/>
  <c r="I126" i="18"/>
  <c r="H122" i="18"/>
  <c r="H127" i="18"/>
  <c r="H128" i="18"/>
  <c r="H123" i="18"/>
  <c r="H129" i="18"/>
  <c r="H124" i="18"/>
  <c r="H130" i="18"/>
  <c r="H125" i="18"/>
  <c r="H131" i="18"/>
  <c r="H126" i="18"/>
  <c r="I113" i="18"/>
  <c r="I114" i="18"/>
  <c r="I117" i="18"/>
  <c r="I115" i="18"/>
  <c r="I116" i="18"/>
  <c r="I110" i="18"/>
  <c r="I111" i="18"/>
  <c r="I112" i="18"/>
  <c r="I109" i="18"/>
  <c r="E53" i="18"/>
  <c r="E54" i="18" s="1"/>
  <c r="I109" i="9"/>
  <c r="I110" i="9"/>
  <c r="I111" i="9"/>
  <c r="I112" i="9"/>
  <c r="I113" i="9"/>
  <c r="I114" i="9"/>
  <c r="H109" i="9"/>
  <c r="H110" i="9"/>
  <c r="H111" i="9"/>
  <c r="H112" i="9"/>
  <c r="H113" i="9"/>
  <c r="H114" i="9"/>
  <c r="I108" i="9"/>
  <c r="H108" i="9"/>
  <c r="AI45" i="20" l="1"/>
  <c r="I69" i="20" s="1"/>
  <c r="I152" i="20"/>
  <c r="I145" i="20"/>
  <c r="AG45" i="20"/>
  <c r="G69" i="20" s="1"/>
  <c r="G145" i="20"/>
  <c r="G152" i="20"/>
  <c r="AF45" i="20"/>
  <c r="F69" i="20" s="1"/>
  <c r="F145" i="20"/>
  <c r="F152" i="20"/>
  <c r="L131" i="20"/>
  <c r="M131" i="20"/>
  <c r="K131" i="20"/>
  <c r="G90" i="11"/>
  <c r="F90" i="11"/>
  <c r="K49" i="20"/>
  <c r="K40" i="20" s="1"/>
  <c r="G193" i="11"/>
  <c r="F193" i="11"/>
  <c r="G32" i="20"/>
  <c r="G27" i="20"/>
  <c r="H89" i="11"/>
  <c r="H87" i="11"/>
  <c r="G17" i="20"/>
  <c r="G25" i="20"/>
  <c r="F31" i="20"/>
  <c r="G35" i="20"/>
  <c r="F32" i="20"/>
  <c r="F33" i="20"/>
  <c r="G24" i="20"/>
  <c r="F17" i="20"/>
  <c r="F30" i="20"/>
  <c r="G30" i="20"/>
  <c r="F34" i="20"/>
  <c r="G31" i="20"/>
  <c r="I49" i="20"/>
  <c r="I40" i="20" s="1"/>
  <c r="G33" i="20"/>
  <c r="G28" i="20"/>
  <c r="F29" i="20"/>
  <c r="F35" i="20"/>
  <c r="F36" i="20"/>
  <c r="F25" i="20"/>
  <c r="F27" i="20"/>
  <c r="F28" i="20"/>
  <c r="F26" i="20"/>
  <c r="E90" i="11"/>
  <c r="E193" i="11"/>
  <c r="N22" i="20"/>
  <c r="N21" i="20" s="1"/>
  <c r="I17" i="20"/>
  <c r="I29" i="20"/>
  <c r="I32" i="20"/>
  <c r="I33" i="20"/>
  <c r="I34" i="20"/>
  <c r="I26" i="20"/>
  <c r="I27" i="20"/>
  <c r="I24" i="20"/>
  <c r="I30" i="20"/>
  <c r="I36" i="20"/>
  <c r="I28" i="20"/>
  <c r="I25" i="20"/>
  <c r="I35" i="20"/>
  <c r="I31" i="20"/>
  <c r="H17" i="20"/>
  <c r="H25" i="20"/>
  <c r="H27" i="20"/>
  <c r="H29" i="20"/>
  <c r="H32" i="20"/>
  <c r="H34" i="20"/>
  <c r="H36" i="20"/>
  <c r="H24" i="20"/>
  <c r="H26" i="20"/>
  <c r="H28" i="20"/>
  <c r="H30" i="20"/>
  <c r="H33" i="20"/>
  <c r="H35" i="20"/>
  <c r="H31" i="20"/>
  <c r="F80" i="18"/>
  <c r="F74" i="18" s="1"/>
  <c r="F81" i="18" s="1"/>
  <c r="F82" i="18" s="1"/>
  <c r="F89" i="18" s="1"/>
  <c r="G109" i="18"/>
  <c r="G112" i="18"/>
  <c r="G110" i="18"/>
  <c r="G114" i="18"/>
  <c r="G113" i="18"/>
  <c r="G116" i="18"/>
  <c r="G115" i="18"/>
  <c r="G111" i="18"/>
  <c r="G117" i="18"/>
  <c r="H110" i="18"/>
  <c r="H111" i="18"/>
  <c r="H112" i="18"/>
  <c r="H116" i="18"/>
  <c r="H109" i="18"/>
  <c r="H114" i="18"/>
  <c r="H115" i="18"/>
  <c r="H117" i="18"/>
  <c r="H113" i="18"/>
  <c r="F64" i="18"/>
  <c r="Q54" i="18"/>
  <c r="Q52" i="18"/>
  <c r="Q57" i="18"/>
  <c r="Q50" i="18"/>
  <c r="Q53" i="18"/>
  <c r="Q56" i="18"/>
  <c r="Q55" i="18"/>
  <c r="Q51" i="18"/>
  <c r="E49" i="18"/>
  <c r="F112" i="9"/>
  <c r="G109" i="9"/>
  <c r="G110" i="9"/>
  <c r="G111" i="9"/>
  <c r="G112" i="9"/>
  <c r="G113" i="9"/>
  <c r="G114" i="9"/>
  <c r="G108" i="9"/>
  <c r="F109" i="9"/>
  <c r="F110" i="9"/>
  <c r="F111" i="9"/>
  <c r="F113" i="9"/>
  <c r="F114" i="9"/>
  <c r="F108" i="9"/>
  <c r="M50" i="9"/>
  <c r="M54" i="9"/>
  <c r="AK45" i="20" l="1"/>
  <c r="K69" i="20" s="1"/>
  <c r="K152" i="20"/>
  <c r="K154" i="20" s="1"/>
  <c r="K145" i="20"/>
  <c r="AL45" i="20"/>
  <c r="L69" i="20" s="1"/>
  <c r="L39" i="20" s="1"/>
  <c r="L92" i="20" s="1"/>
  <c r="L86" i="20" s="1"/>
  <c r="L91" i="20" s="1"/>
  <c r="L89" i="20" s="1"/>
  <c r="L90" i="20" s="1"/>
  <c r="L145" i="20"/>
  <c r="L152" i="20"/>
  <c r="L154" i="20" s="1"/>
  <c r="M145" i="20"/>
  <c r="M152" i="20"/>
  <c r="M154" i="20" s="1"/>
  <c r="AM45" i="20"/>
  <c r="M69" i="20" s="1"/>
  <c r="M39" i="20" s="1"/>
  <c r="M92" i="20" s="1"/>
  <c r="M86" i="20" s="1"/>
  <c r="M93" i="20" s="1"/>
  <c r="L71" i="20"/>
  <c r="L72" i="20" s="1"/>
  <c r="L83" i="20" s="1"/>
  <c r="L93" i="20"/>
  <c r="L94" i="20" s="1"/>
  <c r="L102" i="20" s="1"/>
  <c r="K39" i="20"/>
  <c r="K71" i="20" s="1"/>
  <c r="K72" i="20" s="1"/>
  <c r="K83" i="20" s="1"/>
  <c r="S84" i="28" s="1"/>
  <c r="H155" i="20"/>
  <c r="H154" i="20"/>
  <c r="K155" i="20"/>
  <c r="G154" i="20"/>
  <c r="G155" i="20"/>
  <c r="F154" i="20"/>
  <c r="F155" i="20"/>
  <c r="H90" i="11"/>
  <c r="H193" i="11"/>
  <c r="G22" i="20"/>
  <c r="F22" i="20"/>
  <c r="I22" i="20"/>
  <c r="I64" i="20" s="1"/>
  <c r="I66" i="20" s="1"/>
  <c r="H22" i="20"/>
  <c r="N88" i="20"/>
  <c r="N37" i="20"/>
  <c r="N65" i="20" s="1"/>
  <c r="N67" i="20" s="1"/>
  <c r="N68" i="20" s="1"/>
  <c r="N63" i="20" s="1"/>
  <c r="N39" i="20" s="1"/>
  <c r="N87" i="20"/>
  <c r="F65" i="18"/>
  <c r="F99" i="18"/>
  <c r="E39" i="18"/>
  <c r="P58" i="18" s="1"/>
  <c r="F123" i="18"/>
  <c r="F128" i="18"/>
  <c r="F124" i="18"/>
  <c r="F129" i="18"/>
  <c r="F122" i="18"/>
  <c r="F127" i="18"/>
  <c r="F125" i="18"/>
  <c r="F130" i="18"/>
  <c r="F131" i="18"/>
  <c r="F79" i="18"/>
  <c r="F77" i="18" s="1"/>
  <c r="F78" i="18" s="1"/>
  <c r="P48" i="9"/>
  <c r="L111" i="20" l="1"/>
  <c r="T84" i="28"/>
  <c r="G21" i="20"/>
  <c r="G88" i="20" s="1"/>
  <c r="G64" i="20"/>
  <c r="G66" i="20" s="1"/>
  <c r="M155" i="20"/>
  <c r="H21" i="20"/>
  <c r="H64" i="20"/>
  <c r="H66" i="20" s="1"/>
  <c r="F21" i="20"/>
  <c r="F64" i="20"/>
  <c r="F66" i="20" s="1"/>
  <c r="M71" i="20"/>
  <c r="M72" i="20" s="1"/>
  <c r="M83" i="20" s="1"/>
  <c r="M158" i="20"/>
  <c r="K156" i="20"/>
  <c r="K157" i="20"/>
  <c r="G157" i="20"/>
  <c r="G156" i="20"/>
  <c r="H156" i="20"/>
  <c r="H157" i="20"/>
  <c r="G158" i="20"/>
  <c r="F156" i="20"/>
  <c r="F157" i="20"/>
  <c r="L155" i="20"/>
  <c r="K158" i="20"/>
  <c r="H158" i="20"/>
  <c r="M157" i="20"/>
  <c r="M156" i="20"/>
  <c r="F158" i="20"/>
  <c r="K92" i="20"/>
  <c r="K86" i="20" s="1"/>
  <c r="K91" i="20" s="1"/>
  <c r="K89" i="20" s="1"/>
  <c r="K90" i="20" s="1"/>
  <c r="K111" i="20"/>
  <c r="K112" i="20"/>
  <c r="K110" i="20"/>
  <c r="K123" i="20"/>
  <c r="K125" i="20" s="1"/>
  <c r="K113" i="20"/>
  <c r="I155" i="20"/>
  <c r="I154" i="20"/>
  <c r="L112" i="20"/>
  <c r="L123" i="20"/>
  <c r="L125" i="20" s="1"/>
  <c r="L110" i="20"/>
  <c r="L113" i="20"/>
  <c r="G37" i="20"/>
  <c r="G65" i="20" s="1"/>
  <c r="G67" i="20" s="1"/>
  <c r="G68" i="20" s="1"/>
  <c r="G63" i="20" s="1"/>
  <c r="G87" i="20"/>
  <c r="N71" i="20"/>
  <c r="N72" i="20" s="1"/>
  <c r="N83" i="20" s="1"/>
  <c r="N92" i="20"/>
  <c r="N86" i="20" s="1"/>
  <c r="H37" i="20"/>
  <c r="H65" i="20" s="1"/>
  <c r="H67" i="20" s="1"/>
  <c r="H68" i="20" s="1"/>
  <c r="H63" i="20" s="1"/>
  <c r="H39" i="20" s="1"/>
  <c r="H88" i="20"/>
  <c r="H87" i="20"/>
  <c r="E64" i="18"/>
  <c r="E99" i="18" s="1"/>
  <c r="P56" i="18"/>
  <c r="P55" i="18"/>
  <c r="P50" i="18"/>
  <c r="P54" i="18"/>
  <c r="P57" i="18"/>
  <c r="P53" i="18"/>
  <c r="P52" i="18"/>
  <c r="P51" i="18"/>
  <c r="F100" i="18"/>
  <c r="F71" i="18"/>
  <c r="F126" i="18"/>
  <c r="M44" i="9"/>
  <c r="H200" i="2"/>
  <c r="L22" i="9"/>
  <c r="E163" i="6"/>
  <c r="Y82" i="28" l="1"/>
  <c r="U84" i="28"/>
  <c r="F37" i="20"/>
  <c r="F65" i="20" s="1"/>
  <c r="F67" i="20" s="1"/>
  <c r="F68" i="20" s="1"/>
  <c r="F63" i="20" s="1"/>
  <c r="F39" i="20" s="1"/>
  <c r="F71" i="20" s="1"/>
  <c r="F72" i="20" s="1"/>
  <c r="F83" i="20" s="1"/>
  <c r="M123" i="20"/>
  <c r="M125" i="20" s="1"/>
  <c r="M110" i="20"/>
  <c r="M111" i="20"/>
  <c r="M113" i="20"/>
  <c r="M112" i="20"/>
  <c r="I156" i="20"/>
  <c r="I157" i="20"/>
  <c r="I158" i="20"/>
  <c r="L157" i="20"/>
  <c r="L156" i="20"/>
  <c r="L158" i="20"/>
  <c r="G39" i="20"/>
  <c r="G92" i="20" s="1"/>
  <c r="G86" i="20" s="1"/>
  <c r="G93" i="20" s="1"/>
  <c r="G91" i="20" s="1"/>
  <c r="K93" i="20"/>
  <c r="K94" i="20" s="1"/>
  <c r="K102" i="20" s="1"/>
  <c r="L124" i="20"/>
  <c r="K124" i="20"/>
  <c r="H71" i="20"/>
  <c r="H72" i="20" s="1"/>
  <c r="H83" i="20" s="1"/>
  <c r="H92" i="20"/>
  <c r="H86" i="20" s="1"/>
  <c r="N93" i="20"/>
  <c r="N91" i="20" s="1"/>
  <c r="N89" i="20" s="1"/>
  <c r="N90" i="20" s="1"/>
  <c r="N111" i="20"/>
  <c r="N112" i="20"/>
  <c r="AM92" i="20"/>
  <c r="AM116" i="20" s="1"/>
  <c r="N113" i="20"/>
  <c r="N123" i="20"/>
  <c r="N125" i="20" s="1"/>
  <c r="N110" i="20"/>
  <c r="AB66" i="20"/>
  <c r="F109" i="18"/>
  <c r="F110" i="18"/>
  <c r="F116" i="18"/>
  <c r="F113" i="18"/>
  <c r="F115" i="18"/>
  <c r="F112" i="18"/>
  <c r="F117" i="18"/>
  <c r="F114" i="18"/>
  <c r="F111" i="18"/>
  <c r="F54" i="9"/>
  <c r="M124" i="20" l="1"/>
  <c r="F92" i="20"/>
  <c r="F86" i="20" s="1"/>
  <c r="F93" i="20" s="1"/>
  <c r="F91" i="20" s="1"/>
  <c r="G71" i="20"/>
  <c r="G72" i="20" s="1"/>
  <c r="G83" i="20" s="1"/>
  <c r="G112" i="20" s="1"/>
  <c r="F112" i="20"/>
  <c r="F111" i="20"/>
  <c r="F113" i="20"/>
  <c r="AH92" i="20"/>
  <c r="F110" i="20"/>
  <c r="F123" i="20"/>
  <c r="F125" i="20" s="1"/>
  <c r="AI92" i="20"/>
  <c r="G110" i="20"/>
  <c r="G89" i="20"/>
  <c r="G90" i="20" s="1"/>
  <c r="G94" i="20"/>
  <c r="G102" i="20" s="1"/>
  <c r="N94" i="20"/>
  <c r="N102" i="20" s="1"/>
  <c r="H93" i="20"/>
  <c r="H91" i="20" s="1"/>
  <c r="H89" i="20" s="1"/>
  <c r="H90" i="20" s="1"/>
  <c r="N124" i="20"/>
  <c r="AJ92" i="20"/>
  <c r="H110" i="20"/>
  <c r="H111" i="20"/>
  <c r="H112" i="20"/>
  <c r="H123" i="20"/>
  <c r="H125" i="20" s="1"/>
  <c r="H113" i="20"/>
  <c r="C119" i="9"/>
  <c r="AE61" i="9"/>
  <c r="G181" i="2"/>
  <c r="G180" i="2"/>
  <c r="G179" i="2"/>
  <c r="G178" i="2"/>
  <c r="G177" i="2"/>
  <c r="G176" i="2"/>
  <c r="F181" i="2"/>
  <c r="F180" i="2"/>
  <c r="F179" i="2"/>
  <c r="F178" i="2"/>
  <c r="F177" i="2"/>
  <c r="F176" i="2"/>
  <c r="D177" i="2"/>
  <c r="D181" i="2"/>
  <c r="D180" i="2"/>
  <c r="D178" i="2"/>
  <c r="D176" i="2"/>
  <c r="G111" i="20" l="1"/>
  <c r="G113" i="20"/>
  <c r="G123" i="20"/>
  <c r="G125" i="20" s="1"/>
  <c r="F124" i="20"/>
  <c r="F89" i="20"/>
  <c r="F90" i="20" s="1"/>
  <c r="H94" i="20"/>
  <c r="H102" i="20" s="1"/>
  <c r="F94" i="20"/>
  <c r="F102" i="20" s="1"/>
  <c r="H124" i="20"/>
  <c r="O42" i="9"/>
  <c r="Q42" i="9" s="1"/>
  <c r="U42" i="9" s="1"/>
  <c r="O43" i="9"/>
  <c r="Q43" i="9" s="1"/>
  <c r="U43" i="9" s="1"/>
  <c r="O39" i="9"/>
  <c r="Q39" i="9" s="1"/>
  <c r="U39" i="9" s="1"/>
  <c r="O41" i="9"/>
  <c r="Q41" i="9" s="1"/>
  <c r="U41" i="9" s="1"/>
  <c r="O40" i="9"/>
  <c r="Q40" i="9" s="1"/>
  <c r="U40" i="9" s="1"/>
  <c r="Q44" i="9"/>
  <c r="U44" i="9" s="1"/>
  <c r="M51" i="9"/>
  <c r="M52" i="9" s="1"/>
  <c r="F24" i="9"/>
  <c r="F15" i="9"/>
  <c r="G124" i="20" l="1"/>
  <c r="AE56" i="9"/>
  <c r="R40" i="9"/>
  <c r="C122" i="9" s="1"/>
  <c r="R41" i="9"/>
  <c r="AE57" i="9"/>
  <c r="R39" i="9"/>
  <c r="C121" i="9" s="1"/>
  <c r="AE55" i="9"/>
  <c r="R42" i="9"/>
  <c r="S42" i="9" s="1"/>
  <c r="AE58" i="9"/>
  <c r="R43" i="9"/>
  <c r="AE59" i="9"/>
  <c r="R44" i="9"/>
  <c r="S44" i="9" s="1"/>
  <c r="AE60" i="9"/>
  <c r="F14" i="9"/>
  <c r="C123" i="9" l="1"/>
  <c r="S43" i="9"/>
  <c r="S41" i="9"/>
  <c r="C124" i="9"/>
  <c r="S40" i="9"/>
  <c r="S39" i="9"/>
  <c r="I86" i="3"/>
  <c r="J86" i="3" s="1"/>
  <c r="L10" i="9" l="1"/>
  <c r="L8" i="9"/>
  <c r="L7" i="9"/>
  <c r="L6" i="9"/>
  <c r="L23" i="9"/>
  <c r="L24" i="9"/>
  <c r="L21" i="9"/>
  <c r="L18" i="9"/>
  <c r="L17" i="9"/>
  <c r="L16" i="9"/>
  <c r="L14" i="9"/>
  <c r="L13" i="9"/>
  <c r="L12" i="9"/>
  <c r="L205" i="2"/>
  <c r="L200" i="2"/>
  <c r="L195" i="2"/>
  <c r="L188" i="2"/>
  <c r="L182" i="2"/>
  <c r="L173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H118" i="2"/>
  <c r="I118" i="2"/>
  <c r="H119" i="2"/>
  <c r="I119" i="2"/>
  <c r="H120" i="2"/>
  <c r="I120" i="2"/>
  <c r="H121" i="2"/>
  <c r="I121" i="2"/>
  <c r="H122" i="2"/>
  <c r="I122" i="2"/>
  <c r="H123" i="2"/>
  <c r="I123" i="2"/>
  <c r="H124" i="2"/>
  <c r="I124" i="2"/>
  <c r="H125" i="2"/>
  <c r="I125" i="2"/>
  <c r="H126" i="2"/>
  <c r="I126" i="2"/>
  <c r="H127" i="2"/>
  <c r="I127" i="2"/>
  <c r="H128" i="2"/>
  <c r="I128" i="2"/>
  <c r="H129" i="2"/>
  <c r="I129" i="2"/>
  <c r="H130" i="2"/>
  <c r="I130" i="2"/>
  <c r="H132" i="2"/>
  <c r="I132" i="2"/>
  <c r="H133" i="2"/>
  <c r="I133" i="2"/>
  <c r="H134" i="2"/>
  <c r="I134" i="2"/>
  <c r="H135" i="2"/>
  <c r="I135" i="2"/>
  <c r="H136" i="2"/>
  <c r="I136" i="2"/>
  <c r="H137" i="2"/>
  <c r="I137" i="2"/>
  <c r="H138" i="2"/>
  <c r="I138" i="2"/>
  <c r="H139" i="2"/>
  <c r="I139" i="2"/>
  <c r="H140" i="2"/>
  <c r="I140" i="2"/>
  <c r="H141" i="2"/>
  <c r="I141" i="2"/>
  <c r="H142" i="2"/>
  <c r="I142" i="2"/>
  <c r="H143" i="2"/>
  <c r="I143" i="2"/>
  <c r="H144" i="2"/>
  <c r="I144" i="2"/>
  <c r="H145" i="2"/>
  <c r="I145" i="2"/>
  <c r="H146" i="2"/>
  <c r="I146" i="2"/>
  <c r="H147" i="2"/>
  <c r="I147" i="2"/>
  <c r="H148" i="2"/>
  <c r="I148" i="2"/>
  <c r="H149" i="2"/>
  <c r="I149" i="2"/>
  <c r="H150" i="2"/>
  <c r="I150" i="2"/>
  <c r="H151" i="2"/>
  <c r="I151" i="2"/>
  <c r="H152" i="2"/>
  <c r="I152" i="2"/>
  <c r="H153" i="2"/>
  <c r="I153" i="2"/>
  <c r="H154" i="2"/>
  <c r="I154" i="2"/>
  <c r="H155" i="2"/>
  <c r="I155" i="2"/>
  <c r="H156" i="2"/>
  <c r="I156" i="2"/>
  <c r="H158" i="2"/>
  <c r="I158" i="2"/>
  <c r="H159" i="2"/>
  <c r="I159" i="2"/>
  <c r="H160" i="2"/>
  <c r="I160" i="2"/>
  <c r="H161" i="2"/>
  <c r="I161" i="2"/>
  <c r="H162" i="2"/>
  <c r="I162" i="2"/>
  <c r="H163" i="2"/>
  <c r="I163" i="2"/>
  <c r="H164" i="2"/>
  <c r="I164" i="2"/>
  <c r="H165" i="2"/>
  <c r="I165" i="2"/>
  <c r="H166" i="2"/>
  <c r="I166" i="2"/>
  <c r="H167" i="2"/>
  <c r="I167" i="2"/>
  <c r="H168" i="2"/>
  <c r="I168" i="2"/>
  <c r="H169" i="2"/>
  <c r="I169" i="2"/>
  <c r="H170" i="2"/>
  <c r="I170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47" i="3" l="1"/>
  <c r="F95" i="3"/>
  <c r="G95" i="3" s="1"/>
  <c r="F96" i="3"/>
  <c r="G96" i="3" s="1"/>
  <c r="F97" i="3"/>
  <c r="G97" i="3" s="1"/>
  <c r="F98" i="3"/>
  <c r="G98" i="3" s="1"/>
  <c r="K72" i="3"/>
  <c r="F99" i="3"/>
  <c r="G99" i="3" s="1"/>
  <c r="G53" i="3"/>
  <c r="N72" i="3"/>
  <c r="H72" i="3"/>
  <c r="G52" i="3"/>
  <c r="E72" i="3"/>
  <c r="F52" i="3"/>
  <c r="N59" i="3"/>
  <c r="F72" i="3"/>
  <c r="I72" i="3"/>
  <c r="G54" i="3"/>
  <c r="F50" i="3"/>
  <c r="G49" i="3"/>
  <c r="F49" i="3"/>
  <c r="L72" i="3"/>
  <c r="G72" i="3"/>
  <c r="F51" i="3"/>
  <c r="G48" i="3"/>
  <c r="F54" i="3"/>
  <c r="F53" i="3"/>
  <c r="G50" i="3"/>
  <c r="F48" i="3"/>
  <c r="M72" i="3"/>
  <c r="G51" i="3"/>
  <c r="G47" i="3"/>
  <c r="H12" i="1"/>
  <c r="R39" i="1" s="1"/>
  <c r="H14" i="1"/>
  <c r="D45" i="3"/>
  <c r="E45" i="3"/>
  <c r="F45" i="3"/>
  <c r="G45" i="3"/>
  <c r="H45" i="3"/>
  <c r="I45" i="3"/>
  <c r="J45" i="3"/>
  <c r="K45" i="3"/>
  <c r="L45" i="3"/>
  <c r="M45" i="3"/>
  <c r="N45" i="3"/>
  <c r="F46" i="3"/>
  <c r="G46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60" i="3"/>
  <c r="N61" i="3"/>
  <c r="N62" i="3"/>
  <c r="N63" i="3"/>
  <c r="N64" i="3"/>
  <c r="N65" i="3"/>
  <c r="N66" i="3"/>
  <c r="N67" i="3"/>
  <c r="N68" i="3"/>
  <c r="N69" i="3"/>
  <c r="N70" i="3"/>
  <c r="N71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L46" i="3"/>
  <c r="S20" i="3" s="1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I46" i="3"/>
  <c r="S17" i="3" s="1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K46" i="3"/>
  <c r="S19" i="3" s="1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B118" i="2"/>
  <c r="C118" i="2"/>
  <c r="D118" i="2"/>
  <c r="B119" i="2"/>
  <c r="C119" i="2"/>
  <c r="D119" i="2"/>
  <c r="B120" i="2"/>
  <c r="C120" i="2"/>
  <c r="D120" i="2"/>
  <c r="B121" i="2"/>
  <c r="C121" i="2"/>
  <c r="D121" i="2"/>
  <c r="B122" i="2"/>
  <c r="C122" i="2"/>
  <c r="D122" i="2"/>
  <c r="B123" i="2"/>
  <c r="C123" i="2"/>
  <c r="D123" i="2"/>
  <c r="B124" i="2"/>
  <c r="C124" i="2"/>
  <c r="D124" i="2"/>
  <c r="B125" i="2"/>
  <c r="C125" i="2"/>
  <c r="D125" i="2"/>
  <c r="B126" i="2"/>
  <c r="C126" i="2"/>
  <c r="D126" i="2"/>
  <c r="B127" i="2"/>
  <c r="C127" i="2"/>
  <c r="D127" i="2"/>
  <c r="B128" i="2"/>
  <c r="C128" i="2"/>
  <c r="D128" i="2"/>
  <c r="B129" i="2"/>
  <c r="C129" i="2"/>
  <c r="D129" i="2"/>
  <c r="B130" i="2"/>
  <c r="C130" i="2"/>
  <c r="D130" i="2"/>
  <c r="B131" i="2"/>
  <c r="B132" i="2"/>
  <c r="D132" i="2"/>
  <c r="B133" i="2"/>
  <c r="D133" i="2"/>
  <c r="B134" i="2"/>
  <c r="D134" i="2"/>
  <c r="B135" i="2"/>
  <c r="D135" i="2"/>
  <c r="B136" i="2"/>
  <c r="D136" i="2"/>
  <c r="B137" i="2"/>
  <c r="D137" i="2"/>
  <c r="B138" i="2"/>
  <c r="D138" i="2"/>
  <c r="B139" i="2"/>
  <c r="D139" i="2"/>
  <c r="B140" i="2"/>
  <c r="D140" i="2"/>
  <c r="B141" i="2"/>
  <c r="D141" i="2"/>
  <c r="B142" i="2"/>
  <c r="D142" i="2"/>
  <c r="B143" i="2"/>
  <c r="D143" i="2"/>
  <c r="B144" i="2"/>
  <c r="C144" i="2"/>
  <c r="D144" i="2"/>
  <c r="B145" i="2"/>
  <c r="C145" i="2"/>
  <c r="D145" i="2"/>
  <c r="B146" i="2"/>
  <c r="C146" i="2"/>
  <c r="D146" i="2"/>
  <c r="B147" i="2"/>
  <c r="C147" i="2"/>
  <c r="D147" i="2"/>
  <c r="B148" i="2"/>
  <c r="C148" i="2"/>
  <c r="D148" i="2"/>
  <c r="B149" i="2"/>
  <c r="C149" i="2"/>
  <c r="D149" i="2"/>
  <c r="B150" i="2"/>
  <c r="C150" i="2"/>
  <c r="D150" i="2"/>
  <c r="B151" i="2"/>
  <c r="C151" i="2"/>
  <c r="D151" i="2"/>
  <c r="B152" i="2"/>
  <c r="C152" i="2"/>
  <c r="D152" i="2"/>
  <c r="B153" i="2"/>
  <c r="C153" i="2"/>
  <c r="D153" i="2"/>
  <c r="B154" i="2"/>
  <c r="C154" i="2"/>
  <c r="D154" i="2"/>
  <c r="B155" i="2"/>
  <c r="C155" i="2"/>
  <c r="D155" i="2"/>
  <c r="B156" i="2"/>
  <c r="C156" i="2"/>
  <c r="D156" i="2"/>
  <c r="B157" i="2"/>
  <c r="B158" i="2"/>
  <c r="D158" i="2"/>
  <c r="B159" i="2"/>
  <c r="D159" i="2"/>
  <c r="B160" i="2"/>
  <c r="D160" i="2"/>
  <c r="B161" i="2"/>
  <c r="D161" i="2"/>
  <c r="B162" i="2"/>
  <c r="D162" i="2"/>
  <c r="B163" i="2"/>
  <c r="D163" i="2"/>
  <c r="B164" i="2"/>
  <c r="D164" i="2"/>
  <c r="B165" i="2"/>
  <c r="D165" i="2"/>
  <c r="B166" i="2"/>
  <c r="D166" i="2"/>
  <c r="B167" i="2"/>
  <c r="D167" i="2"/>
  <c r="B168" i="2"/>
  <c r="D168" i="2"/>
  <c r="B169" i="2"/>
  <c r="D169" i="2"/>
  <c r="B170" i="2"/>
  <c r="C170" i="2"/>
  <c r="D170" i="2"/>
  <c r="M68" i="9" l="1"/>
  <c r="O68" i="9" s="1"/>
  <c r="J13" i="3"/>
  <c r="K13" i="3" s="1"/>
  <c r="S16" i="3"/>
  <c r="F88" i="3"/>
  <c r="F4" i="3"/>
  <c r="F94" i="3"/>
  <c r="H94" i="3" s="1"/>
  <c r="C46" i="3"/>
  <c r="J66" i="3"/>
  <c r="J58" i="3"/>
  <c r="B71" i="3"/>
  <c r="B46" i="3"/>
  <c r="J65" i="3"/>
  <c r="J57" i="3"/>
  <c r="D70" i="3"/>
  <c r="J72" i="3"/>
  <c r="J64" i="3"/>
  <c r="J56" i="3"/>
  <c r="B52" i="3"/>
  <c r="J63" i="3"/>
  <c r="J55" i="3"/>
  <c r="D64" i="3"/>
  <c r="C58" i="3"/>
  <c r="D51" i="3"/>
  <c r="J62" i="3"/>
  <c r="J54" i="3"/>
  <c r="B58" i="3"/>
  <c r="C51" i="3"/>
  <c r="J61" i="3"/>
  <c r="J53" i="3"/>
  <c r="C70" i="3"/>
  <c r="C69" i="3"/>
  <c r="D62" i="3"/>
  <c r="D57" i="3"/>
  <c r="B51" i="3"/>
  <c r="J60" i="3"/>
  <c r="J52" i="3"/>
  <c r="B69" i="3"/>
  <c r="C57" i="3"/>
  <c r="D50" i="3"/>
  <c r="J59" i="3"/>
  <c r="J51" i="3"/>
  <c r="C71" i="3"/>
  <c r="D58" i="3"/>
  <c r="C62" i="3"/>
  <c r="D68" i="3"/>
  <c r="B62" i="3"/>
  <c r="B57" i="3"/>
  <c r="C50" i="3"/>
  <c r="J50" i="3"/>
  <c r="B70" i="3"/>
  <c r="C68" i="3"/>
  <c r="D61" i="3"/>
  <c r="F85" i="3" s="1"/>
  <c r="F84" i="3" s="1"/>
  <c r="D56" i="3"/>
  <c r="B50" i="3"/>
  <c r="J49" i="3"/>
  <c r="B64" i="3"/>
  <c r="B68" i="3"/>
  <c r="C61" i="3"/>
  <c r="C56" i="3"/>
  <c r="D49" i="3"/>
  <c r="J48" i="3"/>
  <c r="F7" i="3"/>
  <c r="B56" i="3"/>
  <c r="C49" i="3"/>
  <c r="J47" i="3"/>
  <c r="C63" i="3"/>
  <c r="C72" i="3"/>
  <c r="C67" i="3"/>
  <c r="D60" i="3"/>
  <c r="D55" i="3"/>
  <c r="B49" i="3"/>
  <c r="J46" i="3"/>
  <c r="S18" i="3" s="1"/>
  <c r="D69" i="3"/>
  <c r="B67" i="3"/>
  <c r="C60" i="3"/>
  <c r="C55" i="3"/>
  <c r="D48" i="3"/>
  <c r="B53" i="3"/>
  <c r="B55" i="3"/>
  <c r="C48" i="3"/>
  <c r="C52" i="3"/>
  <c r="B61" i="3"/>
  <c r="C66" i="3"/>
  <c r="D59" i="3"/>
  <c r="T14" i="3" s="1"/>
  <c r="D54" i="3"/>
  <c r="B48" i="3"/>
  <c r="J71" i="3"/>
  <c r="D63" i="3"/>
  <c r="B66" i="3"/>
  <c r="C59" i="3"/>
  <c r="C54" i="3"/>
  <c r="D47" i="3"/>
  <c r="J70" i="3"/>
  <c r="B63" i="3"/>
  <c r="D72" i="3"/>
  <c r="D67" i="3"/>
  <c r="D66" i="3"/>
  <c r="B59" i="3"/>
  <c r="B54" i="3"/>
  <c r="C47" i="3"/>
  <c r="J69" i="3"/>
  <c r="D52" i="3"/>
  <c r="B60" i="3"/>
  <c r="C65" i="3"/>
  <c r="D53" i="3"/>
  <c r="B47" i="3"/>
  <c r="J68" i="3"/>
  <c r="C64" i="3"/>
  <c r="B72" i="3"/>
  <c r="D65" i="3"/>
  <c r="D71" i="3"/>
  <c r="B65" i="3"/>
  <c r="C53" i="3"/>
  <c r="D46" i="3"/>
  <c r="S14" i="3" s="1"/>
  <c r="J67" i="3"/>
  <c r="J14" i="1"/>
  <c r="F8" i="3"/>
  <c r="O38" i="9"/>
  <c r="Q38" i="9" s="1"/>
  <c r="U38" i="9" s="1"/>
  <c r="J16" i="3"/>
  <c r="M70" i="9"/>
  <c r="O70" i="9" s="1"/>
  <c r="J14" i="3"/>
  <c r="M66" i="9"/>
  <c r="O66" i="9" s="1"/>
  <c r="J17" i="3"/>
  <c r="M67" i="9"/>
  <c r="F89" i="3"/>
  <c r="F5" i="3"/>
  <c r="F90" i="3"/>
  <c r="F92" i="3"/>
  <c r="F75" i="3"/>
  <c r="F12" i="3"/>
  <c r="F11" i="3"/>
  <c r="F9" i="3"/>
  <c r="F10" i="3"/>
  <c r="E6" i="3"/>
  <c r="L13" i="3" l="1"/>
  <c r="J15" i="3"/>
  <c r="K15" i="3" s="1"/>
  <c r="O36" i="9"/>
  <c r="Q36" i="9" s="1"/>
  <c r="F80" i="3"/>
  <c r="F76" i="3"/>
  <c r="M69" i="9"/>
  <c r="O69" i="9" s="1"/>
  <c r="F77" i="3"/>
  <c r="F91" i="3"/>
  <c r="F87" i="3" s="1"/>
  <c r="F81" i="3" s="1"/>
  <c r="F6" i="3"/>
  <c r="M13" i="3"/>
  <c r="E4" i="3"/>
  <c r="Q67" i="9"/>
  <c r="S67" i="9" s="1"/>
  <c r="O67" i="9"/>
  <c r="Q37" i="9"/>
  <c r="AE54" i="9"/>
  <c r="L16" i="3"/>
  <c r="K16" i="3"/>
  <c r="K14" i="3"/>
  <c r="L14" i="3"/>
  <c r="K17" i="3"/>
  <c r="L17" i="3"/>
  <c r="R38" i="9"/>
  <c r="L25" i="9"/>
  <c r="E19" i="3"/>
  <c r="E14" i="3"/>
  <c r="E17" i="3"/>
  <c r="E15" i="3"/>
  <c r="E16" i="3"/>
  <c r="E18" i="3"/>
  <c r="I41" i="1"/>
  <c r="I49" i="1"/>
  <c r="L15" i="3" l="1"/>
  <c r="R36" i="9"/>
  <c r="Q35" i="9"/>
  <c r="Q45" i="9" s="1"/>
  <c r="F82" i="3"/>
  <c r="S38" i="9"/>
  <c r="R37" i="9"/>
  <c r="F38" i="9"/>
  <c r="AE38" i="9" s="1"/>
  <c r="F34" i="9"/>
  <c r="AE34" i="9" s="1"/>
  <c r="F48" i="9"/>
  <c r="AE48" i="9" s="1"/>
  <c r="F40" i="9"/>
  <c r="AE40" i="9" s="1"/>
  <c r="F35" i="9"/>
  <c r="AE35" i="9" s="1"/>
  <c r="F49" i="9"/>
  <c r="AE49" i="9" s="1"/>
  <c r="F37" i="9"/>
  <c r="AE37" i="9" s="1"/>
  <c r="F36" i="9"/>
  <c r="AE36" i="9" s="1"/>
  <c r="F47" i="9"/>
  <c r="AE47" i="9" s="1"/>
  <c r="F45" i="9"/>
  <c r="AE45" i="9" s="1"/>
  <c r="F43" i="9"/>
  <c r="AE43" i="9" s="1"/>
  <c r="F66" i="9"/>
  <c r="F42" i="9"/>
  <c r="AE42" i="9" s="1"/>
  <c r="F39" i="9"/>
  <c r="AE39" i="9" s="1"/>
  <c r="F44" i="9"/>
  <c r="AE44" i="9" s="1"/>
  <c r="F41" i="9"/>
  <c r="AE41" i="9" s="1"/>
  <c r="F46" i="9"/>
  <c r="AE46" i="9" s="1"/>
  <c r="E13" i="3"/>
  <c r="H42" i="1"/>
  <c r="C120" i="9" l="1"/>
  <c r="S36" i="9"/>
  <c r="R35" i="9"/>
  <c r="F52" i="9" s="1"/>
  <c r="AE52" i="9" s="1"/>
  <c r="F53" i="9"/>
  <c r="S37" i="9"/>
  <c r="M48" i="9"/>
  <c r="H46" i="1"/>
  <c r="I42" i="1"/>
  <c r="H44" i="1"/>
  <c r="R41" i="1" s="1"/>
  <c r="H45" i="1"/>
  <c r="H47" i="1"/>
  <c r="H48" i="1"/>
  <c r="H43" i="1"/>
  <c r="R40" i="1" s="1"/>
  <c r="H50" i="1"/>
  <c r="S35" i="9" l="1"/>
  <c r="R45" i="9"/>
  <c r="S45" i="9" s="1"/>
  <c r="M57" i="9"/>
  <c r="F61" i="9" s="1"/>
  <c r="M53" i="9"/>
  <c r="M56" i="9" s="1"/>
  <c r="C118" i="9" s="1"/>
  <c r="F51" i="9"/>
  <c r="AE51" i="9" s="1"/>
  <c r="AE53" i="9"/>
  <c r="I43" i="1"/>
  <c r="I47" i="1"/>
  <c r="R44" i="1"/>
  <c r="I50" i="1"/>
  <c r="I48" i="1"/>
  <c r="R45" i="1"/>
  <c r="I45" i="1"/>
  <c r="R42" i="1"/>
  <c r="I44" i="1"/>
  <c r="H51" i="1"/>
  <c r="H56" i="1" s="1"/>
  <c r="I46" i="1"/>
  <c r="R43" i="1"/>
  <c r="C107" i="1"/>
  <c r="C108" i="1"/>
  <c r="C109" i="1"/>
  <c r="G14" i="1"/>
  <c r="G12" i="1"/>
  <c r="F14" i="1"/>
  <c r="F12" i="1"/>
  <c r="F42" i="1" s="1"/>
  <c r="E14" i="1"/>
  <c r="E12" i="1"/>
  <c r="E42" i="1" s="1"/>
  <c r="F37" i="1"/>
  <c r="E37" i="1"/>
  <c r="D37" i="1"/>
  <c r="C65" i="1"/>
  <c r="D14" i="1"/>
  <c r="D12" i="1"/>
  <c r="N39" i="1" s="1"/>
  <c r="F60" i="9" l="1"/>
  <c r="AE62" i="9" s="1"/>
  <c r="F50" i="9"/>
  <c r="F86" i="9"/>
  <c r="F92" i="9"/>
  <c r="F87" i="9"/>
  <c r="F88" i="9"/>
  <c r="F90" i="9"/>
  <c r="F91" i="9"/>
  <c r="F89" i="9"/>
  <c r="H62" i="1"/>
  <c r="H64" i="1"/>
  <c r="H60" i="1"/>
  <c r="H61" i="1"/>
  <c r="H58" i="1"/>
  <c r="R46" i="1"/>
  <c r="R47" i="1" s="1"/>
  <c r="H40" i="1" s="1"/>
  <c r="I40" i="1" s="1"/>
  <c r="H57" i="1"/>
  <c r="G42" i="1"/>
  <c r="Q39" i="1"/>
  <c r="H59" i="1"/>
  <c r="O39" i="1"/>
  <c r="C114" i="1"/>
  <c r="P39" i="1"/>
  <c r="D42" i="1"/>
  <c r="G48" i="1" s="1"/>
  <c r="E80" i="18" l="1"/>
  <c r="E74" i="18" s="1"/>
  <c r="M61" i="9"/>
  <c r="M62" i="9" s="1"/>
  <c r="AE50" i="9"/>
  <c r="F93" i="9"/>
  <c r="F48" i="1"/>
  <c r="P45" i="1" s="1"/>
  <c r="G44" i="1"/>
  <c r="Q41" i="1" s="1"/>
  <c r="E46" i="1"/>
  <c r="O43" i="1" s="1"/>
  <c r="E48" i="1"/>
  <c r="O45" i="1" s="1"/>
  <c r="F46" i="1"/>
  <c r="P43" i="1" s="1"/>
  <c r="E44" i="1"/>
  <c r="O41" i="1" s="1"/>
  <c r="D47" i="1"/>
  <c r="N44" i="1" s="1"/>
  <c r="F43" i="1"/>
  <c r="P40" i="1" s="1"/>
  <c r="Q45" i="1"/>
  <c r="G43" i="1"/>
  <c r="G47" i="1"/>
  <c r="F45" i="1"/>
  <c r="E43" i="1"/>
  <c r="G46" i="1"/>
  <c r="F44" i="1"/>
  <c r="E47" i="1"/>
  <c r="F47" i="1"/>
  <c r="E45" i="1"/>
  <c r="G45" i="1"/>
  <c r="D46" i="1"/>
  <c r="D45" i="1"/>
  <c r="D44" i="1"/>
  <c r="D43" i="1"/>
  <c r="D48" i="1"/>
  <c r="E65" i="18" l="1"/>
  <c r="E81" i="18"/>
  <c r="E82" i="18" s="1"/>
  <c r="M60" i="9"/>
  <c r="M58" i="9" s="1"/>
  <c r="M59" i="9" s="1"/>
  <c r="AE63" i="9"/>
  <c r="F76" i="9"/>
  <c r="F77" i="9"/>
  <c r="D103" i="9"/>
  <c r="F75" i="9"/>
  <c r="F74" i="9"/>
  <c r="F64" i="9"/>
  <c r="F65" i="9"/>
  <c r="C117" i="9" s="1"/>
  <c r="K66" i="9"/>
  <c r="K70" i="9" s="1"/>
  <c r="K69" i="9" s="1"/>
  <c r="H54" i="1"/>
  <c r="H65" i="1" s="1"/>
  <c r="N43" i="1"/>
  <c r="Q42" i="1"/>
  <c r="P42" i="1"/>
  <c r="Q44" i="1"/>
  <c r="N40" i="1"/>
  <c r="O40" i="1"/>
  <c r="O42" i="1"/>
  <c r="P44" i="1"/>
  <c r="O44" i="1"/>
  <c r="N41" i="1"/>
  <c r="P41" i="1"/>
  <c r="N45" i="1"/>
  <c r="Q40" i="1"/>
  <c r="N42" i="1"/>
  <c r="Q43" i="1"/>
  <c r="E71" i="18" l="1"/>
  <c r="E100" i="18"/>
  <c r="E89" i="18"/>
  <c r="F63" i="9"/>
  <c r="Q70" i="9"/>
  <c r="S70" i="9" s="1"/>
  <c r="B119" i="9"/>
  <c r="B120" i="9"/>
  <c r="B123" i="9"/>
  <c r="B118" i="9"/>
  <c r="B122" i="9"/>
  <c r="B124" i="9"/>
  <c r="B121" i="9"/>
  <c r="Q66" i="9"/>
  <c r="F70" i="9" s="1"/>
  <c r="K68" i="9"/>
  <c r="Q68" i="9" s="1"/>
  <c r="S68" i="9" s="1"/>
  <c r="F62" i="9"/>
  <c r="P46" i="1"/>
  <c r="P47" i="1" s="1"/>
  <c r="F40" i="1" s="1"/>
  <c r="F51" i="1" s="1"/>
  <c r="F54" i="1" s="1"/>
  <c r="N46" i="1"/>
  <c r="N47" i="1" s="1"/>
  <c r="D40" i="1" s="1"/>
  <c r="D51" i="1" s="1"/>
  <c r="O46" i="1"/>
  <c r="O47" i="1" s="1"/>
  <c r="E40" i="1" s="1"/>
  <c r="Q46" i="1"/>
  <c r="F68" i="9" l="1"/>
  <c r="E109" i="18"/>
  <c r="E110" i="18"/>
  <c r="E129" i="18"/>
  <c r="E130" i="18"/>
  <c r="E131" i="18"/>
  <c r="E127" i="18"/>
  <c r="E124" i="18"/>
  <c r="E128" i="18"/>
  <c r="E123" i="18"/>
  <c r="E122" i="18"/>
  <c r="E125" i="18"/>
  <c r="E114" i="18"/>
  <c r="E115" i="18"/>
  <c r="E116" i="18"/>
  <c r="E113" i="18"/>
  <c r="E117" i="18"/>
  <c r="E111" i="18"/>
  <c r="E112" i="18"/>
  <c r="E79" i="18"/>
  <c r="E77" i="18" s="1"/>
  <c r="E126" i="18" s="1"/>
  <c r="S66" i="9"/>
  <c r="F69" i="9"/>
  <c r="F78" i="9"/>
  <c r="C125" i="9"/>
  <c r="Q69" i="9"/>
  <c r="Q47" i="1"/>
  <c r="G40" i="1" s="1"/>
  <c r="D59" i="1"/>
  <c r="E51" i="1"/>
  <c r="G51" i="1"/>
  <c r="F56" i="1"/>
  <c r="F60" i="1"/>
  <c r="F57" i="1"/>
  <c r="F62" i="1"/>
  <c r="F61" i="1"/>
  <c r="F59" i="1"/>
  <c r="F58" i="1"/>
  <c r="E78" i="18" l="1"/>
  <c r="B125" i="9"/>
  <c r="C126" i="9"/>
  <c r="B126" i="9" s="1"/>
  <c r="F67" i="9"/>
  <c r="S69" i="9"/>
  <c r="G54" i="1"/>
  <c r="Q48" i="1"/>
  <c r="S42" i="1" s="1"/>
  <c r="D58" i="1"/>
  <c r="D57" i="1"/>
  <c r="D54" i="1"/>
  <c r="D62" i="1"/>
  <c r="F65" i="1"/>
  <c r="D60" i="1"/>
  <c r="D61" i="1"/>
  <c r="D56" i="1"/>
  <c r="G56" i="1"/>
  <c r="G62" i="1"/>
  <c r="G58" i="1"/>
  <c r="G57" i="1"/>
  <c r="G59" i="1"/>
  <c r="G61" i="1"/>
  <c r="G60" i="1"/>
  <c r="E56" i="1"/>
  <c r="E60" i="1"/>
  <c r="E58" i="1"/>
  <c r="E62" i="1"/>
  <c r="E57" i="1"/>
  <c r="E61" i="1"/>
  <c r="E59" i="1"/>
  <c r="E54" i="1"/>
  <c r="C19" i="1"/>
  <c r="C20" i="1" s="1"/>
  <c r="C16" i="1"/>
  <c r="C17" i="1" s="1"/>
  <c r="C10" i="1"/>
  <c r="C12" i="1" s="1"/>
  <c r="C42" i="1" s="1"/>
  <c r="S46" i="1" l="1"/>
  <c r="S40" i="1"/>
  <c r="S45" i="1"/>
  <c r="S39" i="1"/>
  <c r="S41" i="1"/>
  <c r="S43" i="1"/>
  <c r="S44" i="1"/>
  <c r="S65" i="9"/>
  <c r="R59" i="9" s="1"/>
  <c r="C45" i="1"/>
  <c r="C49" i="1"/>
  <c r="C81" i="1" s="1"/>
  <c r="C74" i="1"/>
  <c r="C44" i="1"/>
  <c r="C76" i="1" s="1"/>
  <c r="C41" i="1"/>
  <c r="C73" i="1" s="1"/>
  <c r="C40" i="1"/>
  <c r="G65" i="1"/>
  <c r="D65" i="1"/>
  <c r="E65" i="1"/>
  <c r="S47" i="1" l="1"/>
  <c r="R58" i="9"/>
  <c r="R62" i="9"/>
  <c r="R61" i="9"/>
  <c r="R60" i="9"/>
  <c r="C51" i="1"/>
  <c r="C72" i="1"/>
  <c r="C82" i="1" s="1"/>
  <c r="C94" i="1" l="1"/>
  <c r="C95" i="1"/>
  <c r="C96" i="1"/>
  <c r="C91" i="1"/>
  <c r="C100" i="1"/>
  <c r="C92" i="1"/>
  <c r="C93" i="1"/>
  <c r="C101" i="1" l="1"/>
  <c r="I21" i="20"/>
  <c r="I87" i="20" s="1"/>
  <c r="I37" i="20" l="1"/>
  <c r="I65" i="20" s="1"/>
  <c r="I67" i="20" s="1"/>
  <c r="I68" i="20" s="1"/>
  <c r="I63" i="20" s="1"/>
  <c r="I39" i="20" s="1"/>
  <c r="I88" i="20"/>
  <c r="I92" i="20" l="1"/>
  <c r="I71" i="20"/>
  <c r="I86" i="20" l="1"/>
  <c r="I72" i="20"/>
  <c r="I93" i="20" l="1"/>
  <c r="I91" i="20" s="1"/>
  <c r="I89" i="20" s="1"/>
  <c r="I90" i="20" s="1"/>
  <c r="I83" i="20"/>
  <c r="I94" i="20" l="1"/>
  <c r="I102" i="20" s="1"/>
  <c r="AK92" i="20"/>
  <c r="AA66" i="20"/>
  <c r="I110" i="20"/>
  <c r="I113" i="20"/>
  <c r="I112" i="20"/>
  <c r="B112" i="20" s="1"/>
  <c r="I111" i="20"/>
  <c r="I123" i="20"/>
  <c r="I125" i="20" s="1"/>
  <c r="I124" i="20" l="1"/>
  <c r="M91" i="20"/>
  <c r="M89" i="20" s="1"/>
  <c r="M94" i="20"/>
  <c r="M102" i="20" s="1"/>
  <c r="M90" i="20" l="1"/>
</calcChain>
</file>

<file path=xl/sharedStrings.xml><?xml version="1.0" encoding="utf-8"?>
<sst xmlns="http://schemas.openxmlformats.org/spreadsheetml/2006/main" count="10731" uniqueCount="1267">
  <si>
    <t>SABIC</t>
    <phoneticPr fontId="8" type="noConversion"/>
  </si>
  <si>
    <t>-</t>
    <phoneticPr fontId="8" type="noConversion"/>
  </si>
  <si>
    <t>Reference</t>
    <phoneticPr fontId="8" type="noConversion"/>
  </si>
  <si>
    <t>PCT/US2018/012064</t>
    <phoneticPr fontId="8" type="noConversion"/>
  </si>
  <si>
    <t xml:space="preserve">Preheating </t>
    <phoneticPr fontId="8" type="noConversion"/>
  </si>
  <si>
    <t>CH4 pyrolysis</t>
    <phoneticPr fontId="8" type="noConversion"/>
  </si>
  <si>
    <t>CH4 feed (mol/h)</t>
    <phoneticPr fontId="8" type="noConversion"/>
  </si>
  <si>
    <t>lb</t>
    <phoneticPr fontId="8" type="noConversion"/>
  </si>
  <si>
    <t>g</t>
    <phoneticPr fontId="8" type="noConversion"/>
  </si>
  <si>
    <t>CH4 feed (lb/h)</t>
    <phoneticPr fontId="8" type="noConversion"/>
  </si>
  <si>
    <t>CH4 feed (g/h)</t>
    <phoneticPr fontId="8" type="noConversion"/>
  </si>
  <si>
    <t>CH4 fuel (lb/h)</t>
    <phoneticPr fontId="8" type="noConversion"/>
  </si>
  <si>
    <t>Pure O2 (lb/h)</t>
    <phoneticPr fontId="8" type="noConversion"/>
  </si>
  <si>
    <t>O2 stoichometry (%)</t>
    <phoneticPr fontId="8" type="noConversion"/>
  </si>
  <si>
    <t>CH4 fuel (g/h)</t>
    <phoneticPr fontId="8" type="noConversion"/>
  </si>
  <si>
    <t>CH4 fuel (mol/h)</t>
    <phoneticPr fontId="8" type="noConversion"/>
  </si>
  <si>
    <t>O2 fuel (g/h)</t>
    <phoneticPr fontId="8" type="noConversion"/>
  </si>
  <si>
    <t>O2 fuel (mol/h)</t>
    <phoneticPr fontId="8" type="noConversion"/>
  </si>
  <si>
    <r>
      <t>Temp (</t>
    </r>
    <r>
      <rPr>
        <vertAlign val="superscript"/>
        <sz val="11"/>
        <color rgb="FF0000CC"/>
        <rFont val="Calibri"/>
        <family val="2"/>
      </rPr>
      <t>o</t>
    </r>
    <r>
      <rPr>
        <sz val="11"/>
        <color rgb="FF0000CC"/>
        <rFont val="Calibri"/>
        <family val="2"/>
      </rPr>
      <t>C)</t>
    </r>
    <phoneticPr fontId="8" type="noConversion"/>
  </si>
  <si>
    <r>
      <t>Temp (</t>
    </r>
    <r>
      <rPr>
        <vertAlign val="superscript"/>
        <sz val="11"/>
        <color rgb="FF0000CC"/>
        <rFont val="Calibri"/>
        <family val="2"/>
      </rPr>
      <t>o</t>
    </r>
    <r>
      <rPr>
        <sz val="11"/>
        <color rgb="FF0000CC"/>
        <rFont val="Calibri"/>
        <family val="2"/>
      </rPr>
      <t>C)</t>
    </r>
    <phoneticPr fontId="8" type="noConversion"/>
  </si>
  <si>
    <t>H2</t>
    <phoneticPr fontId="8" type="noConversion"/>
  </si>
  <si>
    <t>CO2</t>
    <phoneticPr fontId="8" type="noConversion"/>
  </si>
  <si>
    <t>CH4</t>
    <phoneticPr fontId="8" type="noConversion"/>
  </si>
  <si>
    <t>C2H4</t>
    <phoneticPr fontId="8" type="noConversion"/>
  </si>
  <si>
    <t>C2H2</t>
    <phoneticPr fontId="8" type="noConversion"/>
  </si>
  <si>
    <t>Total</t>
    <phoneticPr fontId="8" type="noConversion"/>
  </si>
  <si>
    <t>CH4 feed (ml/min)</t>
    <phoneticPr fontId="8" type="noConversion"/>
  </si>
  <si>
    <t>H2 feed (ml/min)</t>
    <phoneticPr fontId="8" type="noConversion"/>
  </si>
  <si>
    <t>H2 feed (mol/h)</t>
    <phoneticPr fontId="8" type="noConversion"/>
  </si>
  <si>
    <t>Product composition (C%)</t>
    <phoneticPr fontId="8" type="noConversion"/>
  </si>
  <si>
    <t>C2H6</t>
    <phoneticPr fontId="8" type="noConversion"/>
  </si>
  <si>
    <t>C3-C5</t>
    <phoneticPr fontId="8" type="noConversion"/>
  </si>
  <si>
    <t>Benzene</t>
    <phoneticPr fontId="8" type="noConversion"/>
  </si>
  <si>
    <t>Naphthalene</t>
    <phoneticPr fontId="8" type="noConversion"/>
  </si>
  <si>
    <t>Methane conversion (%)</t>
    <phoneticPr fontId="8" type="noConversion"/>
  </si>
  <si>
    <t>CH4</t>
    <phoneticPr fontId="8" type="noConversion"/>
  </si>
  <si>
    <t>H2</t>
    <phoneticPr fontId="8" type="noConversion"/>
  </si>
  <si>
    <t>C2H6</t>
    <phoneticPr fontId="8" type="noConversion"/>
  </si>
  <si>
    <t>Hydrogen in hydrocarbon</t>
    <phoneticPr fontId="8" type="noConversion"/>
  </si>
  <si>
    <t>Produced hydrogen</t>
    <phoneticPr fontId="8" type="noConversion"/>
  </si>
  <si>
    <t>C3-C5</t>
    <phoneticPr fontId="8" type="noConversion"/>
  </si>
  <si>
    <t>Benzene</t>
    <phoneticPr fontId="8" type="noConversion"/>
  </si>
  <si>
    <t>Naphthalene</t>
    <phoneticPr fontId="8" type="noConversion"/>
  </si>
  <si>
    <t>Total</t>
    <phoneticPr fontId="8" type="noConversion"/>
  </si>
  <si>
    <t>1 CASE</t>
    <phoneticPr fontId="8" type="noConversion"/>
  </si>
  <si>
    <t>2 CASE</t>
    <phoneticPr fontId="8" type="noConversion"/>
  </si>
  <si>
    <t>3 CASE</t>
    <phoneticPr fontId="8" type="noConversion"/>
  </si>
  <si>
    <t>4 CASE</t>
    <phoneticPr fontId="8" type="noConversion"/>
  </si>
  <si>
    <t>KRICT (5.8%)</t>
    <phoneticPr fontId="8" type="noConversion"/>
  </si>
  <si>
    <t>KRICT (10%)</t>
    <phoneticPr fontId="8" type="noConversion"/>
  </si>
  <si>
    <t>KRICT (20%)</t>
    <phoneticPr fontId="8" type="noConversion"/>
  </si>
  <si>
    <t>KRICT (30%)</t>
    <phoneticPr fontId="8" type="noConversion"/>
  </si>
  <si>
    <t>Duty (Mbtu/h)</t>
    <phoneticPr fontId="8" type="noConversion"/>
  </si>
  <si>
    <t>CO</t>
    <phoneticPr fontId="8" type="noConversion"/>
  </si>
  <si>
    <t>Coolant quenching</t>
    <phoneticPr fontId="8" type="noConversion"/>
  </si>
  <si>
    <t>Liquid phase hydrogenation</t>
    <phoneticPr fontId="8" type="noConversion"/>
  </si>
  <si>
    <t>Press (psig)</t>
    <phoneticPr fontId="8" type="noConversion"/>
  </si>
  <si>
    <t>n-methyl-2-pyrrolidone (NMP)</t>
    <phoneticPr fontId="8" type="noConversion"/>
  </si>
  <si>
    <r>
      <t xml:space="preserve">Effluent composition (vol%) </t>
    </r>
    <r>
      <rPr>
        <b/>
        <sz val="11"/>
        <color theme="1"/>
        <rFont val="Calibri"/>
        <family val="2"/>
      </rPr>
      <t>(1)</t>
    </r>
    <phoneticPr fontId="8" type="noConversion"/>
  </si>
  <si>
    <t>(1) gaseous flow rate (ml/min)</t>
    <phoneticPr fontId="8" type="noConversion"/>
  </si>
  <si>
    <r>
      <t xml:space="preserve">Product composition (mol/h) </t>
    </r>
    <r>
      <rPr>
        <b/>
        <sz val="11"/>
        <color theme="1"/>
        <rFont val="Calibri"/>
        <family val="2"/>
      </rPr>
      <t>(1)</t>
    </r>
    <phoneticPr fontId="8" type="noConversion"/>
  </si>
  <si>
    <t>H2</t>
    <phoneticPr fontId="8" type="noConversion"/>
  </si>
  <si>
    <t>CO2</t>
    <phoneticPr fontId="8" type="noConversion"/>
  </si>
  <si>
    <t>CO</t>
    <phoneticPr fontId="8" type="noConversion"/>
  </si>
  <si>
    <r>
      <t xml:space="preserve">Quenched product composition (mol/h) </t>
    </r>
    <r>
      <rPr>
        <b/>
        <sz val="11"/>
        <color theme="1"/>
        <rFont val="Calibri"/>
        <family val="2"/>
      </rPr>
      <t>(2)</t>
    </r>
    <phoneticPr fontId="8" type="noConversion"/>
  </si>
  <si>
    <r>
      <t xml:space="preserve">Effluent composition (vol%) </t>
    </r>
    <r>
      <rPr>
        <b/>
        <sz val="11"/>
        <color theme="1"/>
        <rFont val="Calibri"/>
        <family val="2"/>
      </rPr>
      <t>(3)</t>
    </r>
    <phoneticPr fontId="8" type="noConversion"/>
  </si>
  <si>
    <r>
      <t xml:space="preserve">Quenched product composition (mol/h) </t>
    </r>
    <r>
      <rPr>
        <b/>
        <sz val="11"/>
        <color theme="1"/>
        <rFont val="Calibri"/>
        <family val="2"/>
      </rPr>
      <t>(3)</t>
    </r>
    <phoneticPr fontId="8" type="noConversion"/>
  </si>
  <si>
    <t>US 7,919,431 B2</t>
    <phoneticPr fontId="8" type="noConversion"/>
  </si>
  <si>
    <t>Water</t>
    <phoneticPr fontId="8" type="noConversion"/>
  </si>
  <si>
    <t>1.5 wt% acetylene in Liquid NMP flow rate (ml/min)</t>
    <phoneticPr fontId="8" type="noConversion"/>
  </si>
  <si>
    <t>Coke</t>
    <phoneticPr fontId="8" type="noConversion"/>
  </si>
  <si>
    <t>KRICT (업데이트 실험결과)</t>
  </si>
  <si>
    <t>C</t>
    <phoneticPr fontId="8" type="noConversion"/>
  </si>
  <si>
    <t>C</t>
    <phoneticPr fontId="8" type="noConversion"/>
  </si>
  <si>
    <r>
      <t>KRICT (</t>
    </r>
    <r>
      <rPr>
        <sz val="11"/>
        <color rgb="FFFF0000"/>
        <rFont val="돋움"/>
        <family val="3"/>
        <charset val="129"/>
      </rPr>
      <t>업데이트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돋움"/>
        <family val="3"/>
        <charset val="129"/>
      </rPr>
      <t>실험결과</t>
    </r>
    <r>
      <rPr>
        <sz val="11"/>
        <color rgb="FFFF0000"/>
        <rFont val="Calibri"/>
        <family val="2"/>
      </rPr>
      <t>)</t>
    </r>
    <phoneticPr fontId="8" type="noConversion"/>
  </si>
  <si>
    <t>-47 -&gt; 36</t>
  </si>
  <si>
    <t>Units</t>
  </si>
  <si>
    <t>Description</t>
  </si>
  <si>
    <t>From</t>
  </si>
  <si>
    <t>V4</t>
  </si>
  <si>
    <t>V5</t>
  </si>
  <si>
    <t>To</t>
  </si>
  <si>
    <t>Stream Class</t>
  </si>
  <si>
    <t>CONVEN</t>
  </si>
  <si>
    <t>Maximum Relative Error</t>
  </si>
  <si>
    <t>Cost Flow</t>
  </si>
  <si>
    <t>$/hr</t>
  </si>
  <si>
    <t>MIXED Substream</t>
  </si>
  <si>
    <t>Phase</t>
  </si>
  <si>
    <t>Vapor Phase</t>
  </si>
  <si>
    <t>Temperature</t>
  </si>
  <si>
    <t>C</t>
  </si>
  <si>
    <t>Pressure</t>
  </si>
  <si>
    <t>bar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</si>
  <si>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</si>
  <si>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</si>
  <si>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</si>
  <si>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</si>
  <si>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</si>
  <si>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</si>
  <si>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</si>
  <si>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kcal/mol</t>
  </si>
  <si>
    <t>Mass Enthalpy</t>
  </si>
  <si>
    <t>kcal/kg</t>
  </si>
  <si>
    <t>Molar Entropy</t>
  </si>
  <si>
    <t>cal/mol-K</t>
  </si>
  <si>
    <t>Mass Entropy</t>
  </si>
  <si>
    <t>cal/gm-K</t>
  </si>
  <si>
    <t>Molar Density</t>
  </si>
  <si>
    <t>kmol/cum</t>
  </si>
  <si>
    <t>Mass Density</t>
  </si>
  <si>
    <t>kg/cum</t>
  </si>
  <si>
    <t>Enthalpy Flow</t>
  </si>
  <si>
    <t>Gcal/hr</t>
  </si>
  <si>
    <t>Average MW</t>
  </si>
  <si>
    <t>Mole Flows</t>
  </si>
  <si>
    <t>kmol/hr</t>
  </si>
  <si>
    <t>Mole Fractions</t>
  </si>
  <si>
    <t>Mass Flows</t>
  </si>
  <si>
    <t>kg/hr</t>
  </si>
  <si>
    <t>Mass Fractions</t>
  </si>
  <si>
    <t>Volume Flow</t>
  </si>
  <si>
    <t>cum/hr</t>
  </si>
  <si>
    <t>Liquid Phase</t>
  </si>
  <si>
    <t>&lt;add properties&gt;</t>
  </si>
  <si>
    <t>V3</t>
  </si>
  <si>
    <t>T2</t>
  </si>
  <si>
    <t>V2</t>
  </si>
  <si>
    <t>Conversion (%)</t>
  </si>
  <si>
    <t>Selectivity (%)</t>
  </si>
  <si>
    <t xml:space="preserve">Coke </t>
  </si>
  <si>
    <t>CH4</t>
  </si>
  <si>
    <t>H2</t>
  </si>
  <si>
    <t>C2H6</t>
  </si>
  <si>
    <t>C2H4</t>
  </si>
  <si>
    <t>C2H2</t>
  </si>
  <si>
    <t>BEN</t>
  </si>
  <si>
    <t>NAP</t>
  </si>
  <si>
    <t>1-CH4</t>
  </si>
  <si>
    <t>2-H2</t>
  </si>
  <si>
    <t>12-NAP</t>
  </si>
  <si>
    <t>M1</t>
  </si>
  <si>
    <t>HX1</t>
  </si>
  <si>
    <t>HX2</t>
  </si>
  <si>
    <t>E1</t>
  </si>
  <si>
    <t>R1</t>
  </si>
  <si>
    <t>E2</t>
  </si>
  <si>
    <t>C1</t>
  </si>
  <si>
    <t>E3</t>
  </si>
  <si>
    <t>V1</t>
  </si>
  <si>
    <t>C2</t>
  </si>
  <si>
    <t>E4</t>
  </si>
  <si>
    <t>HX3</t>
  </si>
  <si>
    <t>HX4</t>
  </si>
  <si>
    <t>T1</t>
  </si>
  <si>
    <t>HX5</t>
  </si>
  <si>
    <t>T3</t>
  </si>
  <si>
    <t>HX6</t>
  </si>
  <si>
    <t>M2</t>
  </si>
  <si>
    <t>VAL1</t>
  </si>
  <si>
    <t>M3</t>
  </si>
  <si>
    <t>M4</t>
  </si>
  <si>
    <t>M5</t>
  </si>
  <si>
    <t>E7</t>
  </si>
  <si>
    <t>R2</t>
  </si>
  <si>
    <t>C3-C5</t>
  </si>
  <si>
    <t>WATER</t>
  </si>
  <si>
    <t>O2</t>
  </si>
  <si>
    <t>CO2</t>
  </si>
  <si>
    <t>Stream information</t>
  </si>
  <si>
    <t>Process scheme</t>
  </si>
  <si>
    <t>HEATER</t>
  </si>
  <si>
    <t>RADFRAC</t>
  </si>
  <si>
    <t>Very low temperature</t>
  </si>
  <si>
    <t>$/kJ</t>
  </si>
  <si>
    <t>Block ID</t>
  </si>
  <si>
    <t>Block type</t>
  </si>
  <si>
    <t>Duty</t>
  </si>
  <si>
    <t>Usage</t>
  </si>
  <si>
    <t>Cost</t>
  </si>
  <si>
    <t>CO2 emission rate</t>
  </si>
  <si>
    <t>kW</t>
  </si>
  <si>
    <t>COMPR</t>
  </si>
  <si>
    <t>Electricity</t>
  </si>
  <si>
    <t>$/kWhr</t>
  </si>
  <si>
    <t>Cooling water</t>
  </si>
  <si>
    <t>HPS</t>
  </si>
  <si>
    <t>Fired heat</t>
  </si>
  <si>
    <t>LPS</t>
  </si>
  <si>
    <t>EXECUTIVE SUMMARY</t>
  </si>
  <si>
    <t>=================================================================================</t>
  </si>
  <si>
    <t>PROJECT NAME:</t>
  </si>
  <si>
    <t>20909C1</t>
  </si>
  <si>
    <t>CAPACITY:</t>
  </si>
  <si>
    <t>PLANT LOCATION:</t>
  </si>
  <si>
    <t>North America</t>
  </si>
  <si>
    <t>BRIEF DESCRIPTION:</t>
  </si>
  <si>
    <t>SCHEDULE:</t>
  </si>
  <si>
    <t>---------------------------------------------------------------------------------------</t>
  </si>
  <si>
    <t xml:space="preserve">  Start Date for Engineering</t>
  </si>
  <si>
    <t xml:space="preserve">  Duration of EPC Phase</t>
  </si>
  <si>
    <t>Weeks</t>
  </si>
  <si>
    <t xml:space="preserve">  Completion Date for Construction</t>
  </si>
  <si>
    <t xml:space="preserve">  Length of Start-up Period</t>
  </si>
  <si>
    <t>INVESTMENT:</t>
  </si>
  <si>
    <t xml:space="preserve">  Currency Conversion Rate</t>
  </si>
  <si>
    <t>USD/U.S. DOLLAR</t>
  </si>
  <si>
    <t xml:space="preserve">  Total Project Capital Cost</t>
  </si>
  <si>
    <t>USD</t>
  </si>
  <si>
    <t xml:space="preserve">  Total Operating Cost</t>
  </si>
  <si>
    <t>USD/Year</t>
  </si>
  <si>
    <t xml:space="preserve">  Total Raw Materials Cost</t>
  </si>
  <si>
    <t xml:space="preserve">  Total Utilities Cost</t>
  </si>
  <si>
    <t xml:space="preserve">  Total Product Sales</t>
  </si>
  <si>
    <t xml:space="preserve">  Desired Rate of Return</t>
  </si>
  <si>
    <t>Percent/'Year</t>
  </si>
  <si>
    <t xml:space="preserve">  P.O. Period</t>
  </si>
  <si>
    <t>Year</t>
  </si>
  <si>
    <t>PROJECT INFORMATION:</t>
  </si>
  <si>
    <t xml:space="preserve">  Simulator Type</t>
  </si>
  <si>
    <t>Aspen Plus</t>
  </si>
  <si>
    <t xml:space="preserve">      Version</t>
  </si>
  <si>
    <t xml:space="preserve">      Report File</t>
  </si>
  <si>
    <t xml:space="preserve">      Report Date</t>
  </si>
  <si>
    <t xml:space="preserve">  Economic Analysis Type</t>
  </si>
  <si>
    <t>IPE</t>
  </si>
  <si>
    <t>36.1.0</t>
  </si>
  <si>
    <t xml:space="preserve">      System Cost Base Date</t>
  </si>
  <si>
    <t>1Q 16</t>
  </si>
  <si>
    <t xml:space="preserve">      Project Directory</t>
  </si>
  <si>
    <t xml:space="preserve">      Analysis Date</t>
  </si>
  <si>
    <t xml:space="preserve">      Country Base</t>
  </si>
  <si>
    <t>US</t>
  </si>
  <si>
    <t xml:space="preserve">      Project Type</t>
  </si>
  <si>
    <t>Grass roots/Clear field</t>
  </si>
  <si>
    <t xml:space="preserve">      Design code</t>
  </si>
  <si>
    <t>ASME</t>
  </si>
  <si>
    <t xml:space="preserve">      Prepared By</t>
  </si>
  <si>
    <t>NOTES:-----------------------------------------------------</t>
  </si>
  <si>
    <t>PROJSUM.ICS     (Project Summary)</t>
  </si>
  <si>
    <t>ITEM</t>
  </si>
  <si>
    <t>UNITS</t>
  </si>
  <si>
    <t>VALUE</t>
  </si>
  <si>
    <t>************************************************************************</t>
  </si>
  <si>
    <t>PROJECT INFORMATION</t>
  </si>
  <si>
    <t xml:space="preserve">     Project Name</t>
  </si>
  <si>
    <t xml:space="preserve">     Project Description</t>
  </si>
  <si>
    <t xml:space="preserve">     Analysis Date and Time</t>
  </si>
  <si>
    <t xml:space="preserve">     Simulator Type</t>
  </si>
  <si>
    <t xml:space="preserve">     Simulator Version</t>
  </si>
  <si>
    <t xml:space="preserve">     Simulator Report File</t>
  </si>
  <si>
    <t xml:space="preserve">     Simulator Report Date</t>
  </si>
  <si>
    <t xml:space="preserve">     Economic Analysis Type</t>
  </si>
  <si>
    <t xml:space="preserve">     Version</t>
  </si>
  <si>
    <t xml:space="preserve">     Project Directory</t>
  </si>
  <si>
    <t xml:space="preserve">     Scenario Name</t>
  </si>
  <si>
    <t xml:space="preserve">     Scenario Description</t>
  </si>
  <si>
    <t>CAPITAL COST EVALUATION BASIS</t>
  </si>
  <si>
    <t xml:space="preserve">     Date</t>
  </si>
  <si>
    <t xml:space="preserve">     Country</t>
  </si>
  <si>
    <t xml:space="preserve">     Units of Measure</t>
  </si>
  <si>
    <t>METRIC</t>
  </si>
  <si>
    <t xml:space="preserve">     Currency (Cost) Symbol</t>
  </si>
  <si>
    <t>U.S. DOLLAR</t>
  </si>
  <si>
    <t xml:space="preserve">     Currency Conversion Rate</t>
  </si>
  <si>
    <t xml:space="preserve">     System Cost Base Date</t>
  </si>
  <si>
    <t xml:space="preserve">     Project Type</t>
  </si>
  <si>
    <t xml:space="preserve">     Design code</t>
  </si>
  <si>
    <t xml:space="preserve">     Prepared By</t>
  </si>
  <si>
    <t xml:space="preserve">     Plant Location</t>
  </si>
  <si>
    <t xml:space="preserve">     Capacity</t>
  </si>
  <si>
    <t xml:space="preserve">     Time Difference Between System Cost Base Date and Start Date for Engineering</t>
  </si>
  <si>
    <t>Days</t>
  </si>
  <si>
    <t xml:space="preserve">     User Currency Name</t>
  </si>
  <si>
    <t>DOLLARS</t>
  </si>
  <si>
    <t xml:space="preserve">     User Currency Description</t>
  </si>
  <si>
    <t>U.S. DOLLARS</t>
  </si>
  <si>
    <t xml:space="preserve">     User Currency Symbol</t>
  </si>
  <si>
    <t>TIME PERIOD</t>
  </si>
  <si>
    <t xml:space="preserve">     Period Description</t>
  </si>
  <si>
    <t xml:space="preserve">     Operating Hours per Period</t>
  </si>
  <si>
    <t>Hours/period</t>
  </si>
  <si>
    <t xml:space="preserve">     Number of Weeks per Period</t>
  </si>
  <si>
    <t>Weeks/period</t>
  </si>
  <si>
    <t xml:space="preserve">     Number of Periods for Analysis</t>
  </si>
  <si>
    <t>Period</t>
  </si>
  <si>
    <t>SCHEDULE</t>
  </si>
  <si>
    <t xml:space="preserve">     Start Date for Engineering</t>
  </si>
  <si>
    <t xml:space="preserve">     Duration of EPC Phase</t>
  </si>
  <si>
    <t xml:space="preserve">     Length of Start-up Period</t>
  </si>
  <si>
    <t xml:space="preserve">     Duration of Construction Phase</t>
  </si>
  <si>
    <t xml:space="preserve">     Completion Date for Construction</t>
  </si>
  <si>
    <t>CAPITAL COSTS PARAMETERS</t>
  </si>
  <si>
    <t xml:space="preserve">     Working Capital Percentage</t>
  </si>
  <si>
    <t>Percent/period</t>
  </si>
  <si>
    <t>OPERATING COSTS PARAMETERS</t>
  </si>
  <si>
    <t xml:space="preserve">      Operating Supplies (lump-sum)</t>
  </si>
  <si>
    <t>Cost/period</t>
  </si>
  <si>
    <t xml:space="preserve">      Laboratory Charges (lump-sum)</t>
  </si>
  <si>
    <t xml:space="preserve">     User Entered Operating Charges (as percentage)</t>
  </si>
  <si>
    <t xml:space="preserve">     Operating Charges (Percent of Operating Labor Costs)</t>
  </si>
  <si>
    <t xml:space="preserve">     Plant Overhead (Percent of Operating Labor and Maintenance Costs)</t>
  </si>
  <si>
    <t xml:space="preserve">     G and A Expenses (Percent of Subtotal Operating Costs)</t>
  </si>
  <si>
    <t>GENERAL INVESTMENT PARAMETERS</t>
  </si>
  <si>
    <t xml:space="preserve">     Tax Rate</t>
  </si>
  <si>
    <t xml:space="preserve">     Interest Rate</t>
  </si>
  <si>
    <t xml:space="preserve">     Economic Life of Project </t>
  </si>
  <si>
    <t xml:space="preserve">     Salvage Value (Fraction of Initial Capital Cost)</t>
  </si>
  <si>
    <t>Percent</t>
  </si>
  <si>
    <t xml:space="preserve">     Depreciation Method</t>
  </si>
  <si>
    <t>Straight Line</t>
  </si>
  <si>
    <t>ESCALATION</t>
  </si>
  <si>
    <t xml:space="preserve">     Project Capital Escalation</t>
  </si>
  <si>
    <t xml:space="preserve">     Products Escalation</t>
  </si>
  <si>
    <t xml:space="preserve">     Raw Material Escalation </t>
  </si>
  <si>
    <t xml:space="preserve">     Operating and Maintenance Labor Escalation</t>
  </si>
  <si>
    <t xml:space="preserve">     Utilities Escalation</t>
  </si>
  <si>
    <t xml:space="preserve">PROJECT RESULTS SUMMARY </t>
  </si>
  <si>
    <t xml:space="preserve">     Total Project Capital Cost</t>
  </si>
  <si>
    <t xml:space="preserve">     Total Raw Materials Cost</t>
  </si>
  <si>
    <t xml:space="preserve">     Total Products Sales</t>
  </si>
  <si>
    <t xml:space="preserve">     Total Operating Labor and Maintenance Cost</t>
  </si>
  <si>
    <t xml:space="preserve">     Total Utilities Cost</t>
  </si>
  <si>
    <t xml:space="preserve">     Total Operating Cost</t>
  </si>
  <si>
    <t xml:space="preserve">     Operating Labor Cost</t>
  </si>
  <si>
    <t xml:space="preserve">     Maintenance Cost</t>
  </si>
  <si>
    <t xml:space="preserve">     Operating Charges</t>
  </si>
  <si>
    <t xml:space="preserve">     Plant Overhead</t>
  </si>
  <si>
    <t xml:space="preserve">     Subtotal Operating Cost</t>
  </si>
  <si>
    <t xml:space="preserve">     G and A Cost</t>
  </si>
  <si>
    <t>PROJECT CAPITAL SUMMARY</t>
  </si>
  <si>
    <t>Total Cost</t>
  </si>
  <si>
    <t>Design, Eng, Procurement</t>
  </si>
  <si>
    <t>Construction Material</t>
  </si>
  <si>
    <t>Construction Manhours</t>
  </si>
  <si>
    <t>Construction Manpower</t>
  </si>
  <si>
    <t>Construction Indirects</t>
  </si>
  <si>
    <t xml:space="preserve">     Purchased Equipment</t>
  </si>
  <si>
    <t xml:space="preserve">     Equipment Setting</t>
  </si>
  <si>
    <t xml:space="preserve">     Piping</t>
  </si>
  <si>
    <t xml:space="preserve">     Civil</t>
  </si>
  <si>
    <t xml:space="preserve">     Steel</t>
  </si>
  <si>
    <t xml:space="preserve">     Instrumentation</t>
  </si>
  <si>
    <t xml:space="preserve">     Electrical</t>
  </si>
  <si>
    <t xml:space="preserve">     Insulation</t>
  </si>
  <si>
    <t xml:space="preserve">     Paint</t>
  </si>
  <si>
    <t xml:space="preserve">     Other</t>
  </si>
  <si>
    <t xml:space="preserve">     Subcontracts</t>
  </si>
  <si>
    <t xml:space="preserve">     G and A Overheads</t>
  </si>
  <si>
    <t xml:space="preserve">     Contract Fee</t>
  </si>
  <si>
    <t xml:space="preserve">     Escalation</t>
  </si>
  <si>
    <t xml:space="preserve">     Contingencies</t>
  </si>
  <si>
    <t xml:space="preserve">     Total Project Cost</t>
  </si>
  <si>
    <t xml:space="preserve">     Adjusted Total Project Cost</t>
  </si>
  <si>
    <t>ENGINEERING SUMMARY</t>
  </si>
  <si>
    <t>Manhours</t>
  </si>
  <si>
    <t xml:space="preserve">     Basic Engineering</t>
  </si>
  <si>
    <t xml:space="preserve">     Detail Engineering</t>
  </si>
  <si>
    <t xml:space="preserve">     Material Procurement</t>
  </si>
  <si>
    <t xml:space="preserve">     Home Office</t>
  </si>
  <si>
    <t xml:space="preserve">     Total Design, Eng, Procurement Cost</t>
  </si>
  <si>
    <t>RAW MATERIALS COSTS AND PRODUCTS SALES</t>
  </si>
  <si>
    <t xml:space="preserve">     Raw Materials Cost per Hour</t>
  </si>
  <si>
    <t>Cost/Hour</t>
  </si>
  <si>
    <t>Cost/Period</t>
  </si>
  <si>
    <t xml:space="preserve">     Products Sales per Hour</t>
  </si>
  <si>
    <t xml:space="preserve">     Main Product Name</t>
  </si>
  <si>
    <t xml:space="preserve">     Main Product Rate</t>
  </si>
  <si>
    <t xml:space="preserve">     Main Product Unit Cost</t>
  </si>
  <si>
    <t xml:space="preserve">     Main Product Production Basis</t>
  </si>
  <si>
    <t xml:space="preserve">     Main Product Rate per Period</t>
  </si>
  <si>
    <t xml:space="preserve">     Main Product Sales</t>
  </si>
  <si>
    <t xml:space="preserve">     By-product Sales</t>
  </si>
  <si>
    <t>OPERATING LABOR AND MAINTENANCE COSTS</t>
  </si>
  <si>
    <t xml:space="preserve">     Operating Labor </t>
  </si>
  <si>
    <t xml:space="preserve">          Operators per Shift</t>
  </si>
  <si>
    <t xml:space="preserve">          Unit Cost</t>
  </si>
  <si>
    <t>Cost/Operator/H</t>
  </si>
  <si>
    <t xml:space="preserve">          Total Operating Labor Cost</t>
  </si>
  <si>
    <t xml:space="preserve">     Maintenance</t>
  </si>
  <si>
    <t xml:space="preserve">          Cost/8000 Hours</t>
  </si>
  <si>
    <t xml:space="preserve">          Total Maintenance Cost</t>
  </si>
  <si>
    <t xml:space="preserve">     Supervision</t>
  </si>
  <si>
    <t xml:space="preserve">          Supervisors per Shift</t>
  </si>
  <si>
    <t>Cost/Supervisor/H</t>
  </si>
  <si>
    <t xml:space="preserve">          Total Supervision Cost</t>
  </si>
  <si>
    <t>UTILITIES COSTS</t>
  </si>
  <si>
    <t xml:space="preserve">     Electricity</t>
  </si>
  <si>
    <t xml:space="preserve">          Rate</t>
  </si>
  <si>
    <t>KW</t>
  </si>
  <si>
    <t>Cost/KWH</t>
  </si>
  <si>
    <t xml:space="preserve">          Total Electricity Cost</t>
  </si>
  <si>
    <t xml:space="preserve">     Potable  Water</t>
  </si>
  <si>
    <t>Cost/M3</t>
  </si>
  <si>
    <t xml:space="preserve">          Total Potable Water Cost</t>
  </si>
  <si>
    <t xml:space="preserve">     Fuel  </t>
  </si>
  <si>
    <t>Cost/MEGAWH</t>
  </si>
  <si>
    <t xml:space="preserve">          Total Fuel Cost</t>
  </si>
  <si>
    <t xml:space="preserve">     Instrument  Air </t>
  </si>
  <si>
    <t xml:space="preserve">          Total Instrument Air Cost</t>
  </si>
  <si>
    <t xml:space="preserve">     Subtotal Cost </t>
  </si>
  <si>
    <t xml:space="preserve">          Total Cost</t>
  </si>
  <si>
    <t xml:space="preserve">Subtotal Cost </t>
  </si>
  <si>
    <t>CASHFLOW.ICS    (Cashflow)</t>
  </si>
  <si>
    <t>TW  (Number of Weeks per Period)</t>
  </si>
  <si>
    <t>T  (Number of Periods for Analysis)</t>
  </si>
  <si>
    <t>DTEPC  (Duration of EPC Phase)</t>
  </si>
  <si>
    <t>DT  (Duration of EPC Phase and Startup)</t>
  </si>
  <si>
    <t>WORKP  (Working Capital Percentage)</t>
  </si>
  <si>
    <t>OPCHG  (Operating Charges)</t>
  </si>
  <si>
    <t>PLANTOVH  (Plant Overhead)</t>
  </si>
  <si>
    <t>CAPT  (Total Project Cost)</t>
  </si>
  <si>
    <t>RAWT  (Total Raw Material Cost)</t>
  </si>
  <si>
    <t>PRODT  (Total Product Sales)</t>
  </si>
  <si>
    <t>OPMT  (Total Operating Labor and Maintenance Cost)</t>
  </si>
  <si>
    <t>UTILT  (Total Utilities Cost)</t>
  </si>
  <si>
    <t>ROR  (Desired Rate of Return/Interest Rate)</t>
  </si>
  <si>
    <t>AF  (ROR Annuity Factor)</t>
  </si>
  <si>
    <t>TAXR  (Tax Rate)</t>
  </si>
  <si>
    <t>IF  (ROR Interest Factor)</t>
  </si>
  <si>
    <t>ECONLIFE  (Economic Life of Project)</t>
  </si>
  <si>
    <t>SALVAL  (Salvage Value (Percent of Initial Capital Cost))</t>
  </si>
  <si>
    <t>DEPMETH  (Depreciation Method)</t>
  </si>
  <si>
    <t>DEPMETHN  (Depreciation Method Id)</t>
  </si>
  <si>
    <t>ESCAP  (Project Capital Escalation)</t>
  </si>
  <si>
    <t>ESPROD  (Products Escalation)</t>
  </si>
  <si>
    <t>ESRAW  (Raw Material Escalation)</t>
  </si>
  <si>
    <t>ESLAB  (Operating and Maintenance Labor Escalation)</t>
  </si>
  <si>
    <t>ESUT  (Utilities Escalation)</t>
  </si>
  <si>
    <t>START  (Start Period for Plant Startup)</t>
  </si>
  <si>
    <t>PODE  (Desired Payout Period (excluding EPC and Startup Phases))</t>
  </si>
  <si>
    <t>POD  (Desired Payout Period)</t>
  </si>
  <si>
    <t>DESRET  (Desired Return on Project for Sales Forecasting)</t>
  </si>
  <si>
    <t>Percent/Period</t>
  </si>
  <si>
    <t>END  (End Period for Economic Life of Project)</t>
  </si>
  <si>
    <t>GA  (G and A Expenses)</t>
  </si>
  <si>
    <t>DTEP  (Duration of EP Phase before Start of Construction)</t>
  </si>
  <si>
    <t>OP  (Total Operating Labor Cost)</t>
  </si>
  <si>
    <t>MT  (Total Maintenance Cost)</t>
  </si>
  <si>
    <t>Sales</t>
  </si>
  <si>
    <t xml:space="preserve">     SP  (Products Sales)</t>
  </si>
  <si>
    <t xml:space="preserve">     SPF  (Forecasted Sales Annuity Factor)</t>
  </si>
  <si>
    <t xml:space="preserve">     SF  (Forecasted Sales)</t>
  </si>
  <si>
    <t xml:space="preserve">     S  (Total Sales)</t>
  </si>
  <si>
    <t>Expenses</t>
  </si>
  <si>
    <t xml:space="preserve">     CAP  (Capital Costs)</t>
  </si>
  <si>
    <t xml:space="preserve">          Unescalated Cumulative Capital Cost</t>
  </si>
  <si>
    <t xml:space="preserve">          Capital Cost</t>
  </si>
  <si>
    <t xml:space="preserve">          Cumulative Capital Cost </t>
  </si>
  <si>
    <t xml:space="preserve">          Working Capital</t>
  </si>
  <si>
    <t xml:space="preserve">     OP  (Operating Costs)</t>
  </si>
  <si>
    <t xml:space="preserve">          Raw Materials</t>
  </si>
  <si>
    <t xml:space="preserve">          Operating Labor Cost</t>
  </si>
  <si>
    <t xml:space="preserve">          Maintenance Cost</t>
  </si>
  <si>
    <t xml:space="preserve">          Utilities</t>
  </si>
  <si>
    <t xml:space="preserve">          Operating Charges</t>
  </si>
  <si>
    <t xml:space="preserve">          Plant Overhead</t>
  </si>
  <si>
    <t xml:space="preserve">          Subtotal Operating Costs</t>
  </si>
  <si>
    <t xml:space="preserve">          G and A Costs</t>
  </si>
  <si>
    <t>R  (Revenue)</t>
  </si>
  <si>
    <t>DEP  (Depreciation Expense)</t>
  </si>
  <si>
    <t>E  (Earnings Before Taxes)</t>
  </si>
  <si>
    <t>TAX  (Taxes)</t>
  </si>
  <si>
    <t>NE  (Net  Earnings)</t>
  </si>
  <si>
    <t>TED  (Total Earnings)</t>
  </si>
  <si>
    <t>TEX  (Total Expenses (Excludes Taxes and Depreciation))</t>
  </si>
  <si>
    <t>CF  (CashFlow for Project)</t>
  </si>
  <si>
    <t>FVI  (Future Value of Cumulative Cash Inflows)</t>
  </si>
  <si>
    <t>PVI  (Present Value of Cumulative Cash Inflows)</t>
  </si>
  <si>
    <t>PVOS  (Present Value of Cumulative Cash Outflows, Sales)</t>
  </si>
  <si>
    <t>PVOP  (Present Value of Cumulative Cash Outfows, Products)</t>
  </si>
  <si>
    <t>PVO  (Present Value of Cumulative Cash Outfows)</t>
  </si>
  <si>
    <t>PV  (Present Value of Cash Flows)</t>
  </si>
  <si>
    <t>NPV  (Net Present Value)</t>
  </si>
  <si>
    <t>IRR  (Internal Rate of Return)</t>
  </si>
  <si>
    <t>MIRR  (Modified Internal Rate of Return)</t>
  </si>
  <si>
    <t>NRR  (Net Return Rate)</t>
  </si>
  <si>
    <t>PO  (Payout  Period)</t>
  </si>
  <si>
    <t>ARR  (Accounting Rate of Return)</t>
  </si>
  <si>
    <t>PI  (Profitability  Index)</t>
  </si>
  <si>
    <t>*** ANALYSIS ***</t>
  </si>
  <si>
    <t>TRAIT EXAMINED</t>
  </si>
  <si>
    <t>Net Present Value</t>
  </si>
  <si>
    <t>Sign</t>
  </si>
  <si>
    <t>( - )</t>
  </si>
  <si>
    <t>+++</t>
  </si>
  <si>
    <t>Modified Internal Rate of Return</t>
  </si>
  <si>
    <t>Net Return Rate</t>
  </si>
  <si>
    <t>Accounting Rate of Return</t>
  </si>
  <si>
    <t>Profitability Index</t>
  </si>
  <si>
    <t xml:space="preserve"> &lt; 1</t>
  </si>
  <si>
    <t>COMMENTS:</t>
  </si>
  <si>
    <t>1.  Net Present Value analysis and Rate of Return analysis may yeild conflicting results.  When this occurs, the results from the net present value analysis should be followed.</t>
  </si>
  <si>
    <t>2.   For TRAIT EXAMINED, symbols mean: ( - ) = "appears unprofitable"; 0 =  "breakeven"; +++ = "appears profitable"</t>
  </si>
  <si>
    <t>DEPRECIATION CALCULATIONS</t>
  </si>
  <si>
    <t>Depreciation Calculations using the Straight-Line Method</t>
  </si>
  <si>
    <t xml:space="preserve">     Depreciation Factor</t>
  </si>
  <si>
    <t xml:space="preserve">     Depreciation Expense</t>
  </si>
  <si>
    <t>Depreciation Calculations using the Sum of the Digits Method</t>
  </si>
  <si>
    <t xml:space="preserve">     Sum of the Digits</t>
  </si>
  <si>
    <t>Depreciation Calculations using the Double Declining Balance Method</t>
  </si>
  <si>
    <t xml:space="preserve">     Straight Line Depreciation</t>
  </si>
  <si>
    <t xml:space="preserve">     Double Declining Balance</t>
  </si>
  <si>
    <t xml:space="preserve">     Remaining Book Value after Double Declining Balance</t>
  </si>
  <si>
    <t xml:space="preserve"> Depreciation Calculations using the Accelerated Cost Recovery System</t>
  </si>
  <si>
    <t xml:space="preserve">     Total Percent Depreciated</t>
  </si>
  <si>
    <t xml:space="preserve">     Remaining Book Value after Double Declining  Balance</t>
  </si>
  <si>
    <t>EQUIP.ICS (Equipment)</t>
  </si>
  <si>
    <t>Area Name</t>
  </si>
  <si>
    <t>Component Name</t>
  </si>
  <si>
    <t>Component Type</t>
  </si>
  <si>
    <t>Total Direct Cost</t>
  </si>
  <si>
    <t>Equipment Cost</t>
  </si>
  <si>
    <t>Equipment Weight</t>
  </si>
  <si>
    <t>Installed Weight</t>
  </si>
  <si>
    <t>(USD)</t>
  </si>
  <si>
    <t>KG</t>
  </si>
  <si>
    <t>R1.MIXER</t>
  </si>
  <si>
    <t xml:space="preserve">C             </t>
  </si>
  <si>
    <t>R1.B1</t>
  </si>
  <si>
    <t xml:space="preserve">DVT CYLINDER  </t>
  </si>
  <si>
    <t>R1.SPLIT</t>
  </si>
  <si>
    <t>Miscellaneous Flowsheet Area</t>
  </si>
  <si>
    <t xml:space="preserve">DHE TEMA EXCH </t>
  </si>
  <si>
    <t>T1-bottoms split</t>
  </si>
  <si>
    <t>T1-cond</t>
  </si>
  <si>
    <t>T1-cond acc</t>
  </si>
  <si>
    <t>DHT HORIZ DRUM</t>
  </si>
  <si>
    <t>T1-overhead split</t>
  </si>
  <si>
    <t>T1-reb</t>
  </si>
  <si>
    <t xml:space="preserve">DRB U TUBE    </t>
  </si>
  <si>
    <t>T1-reflux pump</t>
  </si>
  <si>
    <t xml:space="preserve">DCP CENTRIF   </t>
  </si>
  <si>
    <t>T1-tower</t>
  </si>
  <si>
    <t xml:space="preserve">DTW TOWER     </t>
  </si>
  <si>
    <t xml:space="preserve">DGC CENTRIF   </t>
  </si>
  <si>
    <t>V5-flash vessel</t>
  </si>
  <si>
    <t>$C-2</t>
  </si>
  <si>
    <t>$C-1</t>
  </si>
  <si>
    <t>T3-bottoms split</t>
  </si>
  <si>
    <t>T3-cond</t>
  </si>
  <si>
    <t>T3-cond acc</t>
  </si>
  <si>
    <t>T3-overhead split</t>
  </si>
  <si>
    <t>T3-reb</t>
  </si>
  <si>
    <t>T3-reflux pump</t>
  </si>
  <si>
    <t>T3-tower</t>
  </si>
  <si>
    <t xml:space="preserve">DAT REACTOR   </t>
  </si>
  <si>
    <t>V1-flash vessel</t>
  </si>
  <si>
    <t>$C-3</t>
  </si>
  <si>
    <t>V3-flash vessel</t>
  </si>
  <si>
    <t>V2-flash vessel</t>
  </si>
  <si>
    <t>T2-bottoms split</t>
  </si>
  <si>
    <t>T2-cond</t>
  </si>
  <si>
    <t>T2-cond acc</t>
  </si>
  <si>
    <t>T2-overhead split</t>
  </si>
  <si>
    <t>T2-reb</t>
  </si>
  <si>
    <t>T2-reflux pump</t>
  </si>
  <si>
    <t>T2-tower</t>
  </si>
  <si>
    <t>V4-flash vessel</t>
  </si>
  <si>
    <t>C:\Users\Ngan\Documents\AspenTech\My Economic Evaluation V10.0 Files\My Econ_Process Projects\20909C1\1</t>
  </si>
  <si>
    <t>KG/H</t>
  </si>
  <si>
    <t>USD/KG</t>
  </si>
  <si>
    <t>KG/Year</t>
  </si>
  <si>
    <t>12-Naphthalene</t>
  </si>
  <si>
    <t>6-RXNin</t>
  </si>
  <si>
    <t>7-RXN-out</t>
  </si>
  <si>
    <t>B1</t>
  </si>
  <si>
    <t>B5</t>
  </si>
  <si>
    <t>B4</t>
  </si>
  <si>
    <t>B3</t>
  </si>
  <si>
    <t>49-COKE</t>
  </si>
  <si>
    <t>50-O2</t>
  </si>
  <si>
    <t>54-CO2</t>
  </si>
  <si>
    <t>20-BEN</t>
  </si>
  <si>
    <t>27-ETHYL</t>
  </si>
  <si>
    <t>28-C2</t>
  </si>
  <si>
    <t>27-Ethylene</t>
  </si>
  <si>
    <t>20-Benzene</t>
  </si>
  <si>
    <t>37-H2</t>
  </si>
  <si>
    <t>MJ/hr</t>
  </si>
  <si>
    <t>Experiment</t>
  </si>
  <si>
    <t>Aspen (checked)</t>
  </si>
  <si>
    <t>Catlatyst performance (conversion, selectivity)</t>
  </si>
  <si>
    <t xml:space="preserve">Reactor inlet: H2/CH4 ratio </t>
  </si>
  <si>
    <t>H2/CH4</t>
  </si>
  <si>
    <t>Yields (%)</t>
  </si>
  <si>
    <t>One-pass conversion (%)</t>
  </si>
  <si>
    <t>Ethylene</t>
  </si>
  <si>
    <t>C2 (Ethane, Acethylene)</t>
  </si>
  <si>
    <t>Benzene</t>
  </si>
  <si>
    <t>Napthalene</t>
  </si>
  <si>
    <t>Hydrogen</t>
  </si>
  <si>
    <t>Methane</t>
  </si>
  <si>
    <t>Heat flow in raw material (MJ/h)</t>
  </si>
  <si>
    <t>Heat flow in production (MJ/h)</t>
  </si>
  <si>
    <t>Utility consumption (MJ/h)</t>
  </si>
  <si>
    <t>Refrigeration</t>
  </si>
  <si>
    <t>Electicity</t>
  </si>
  <si>
    <t>High pressure steam</t>
  </si>
  <si>
    <t>Low pressure steam</t>
  </si>
  <si>
    <t>486941710  KG/Year  27-ETHYL @ 0.990  USD/KG</t>
  </si>
  <si>
    <t>Thursday, November 09, 2017</t>
  </si>
  <si>
    <t>C:\Users\Ngan\Desktop\C1 refinery\Aspen case\20190918_Final economic\_5615tfr.ads</t>
  </si>
  <si>
    <t>Wednesday, September 18, 2019</t>
  </si>
  <si>
    <t>Wed Sep 18 13:08:03 2019</t>
  </si>
  <si>
    <t>NganDo</t>
  </si>
  <si>
    <t>C1 Refinery</t>
  </si>
  <si>
    <t>Flash tank</t>
  </si>
  <si>
    <t>Columns</t>
  </si>
  <si>
    <t>Heat exchanger, heater, cooler</t>
  </si>
  <si>
    <t>Overall conversion (%)_Ethylene</t>
  </si>
  <si>
    <t>Overall conversion (%)_Hydrocarbon</t>
  </si>
  <si>
    <t>Purchased equipment (PE)</t>
  </si>
  <si>
    <t>Operating labor cost</t>
  </si>
  <si>
    <t>Maintenance cost</t>
  </si>
  <si>
    <t>Operating charges</t>
  </si>
  <si>
    <t>Plant overhead</t>
  </si>
  <si>
    <t>G&amp;A cost</t>
  </si>
  <si>
    <t>Total</t>
  </si>
  <si>
    <t xml:space="preserve">CARBON EFFICIENCY </t>
  </si>
  <si>
    <t>ENERGY EFFICIENCY</t>
  </si>
  <si>
    <t xml:space="preserve"> </t>
  </si>
  <si>
    <t>Ethylene (99.9% vol)</t>
  </si>
  <si>
    <t>Acethylene (95.1 %vol)</t>
  </si>
  <si>
    <t>Naphthalene (95.7 %wt)</t>
  </si>
  <si>
    <t>Benzene (99 %wt)</t>
  </si>
  <si>
    <t>PRODUCT STREAM (KG/H)</t>
  </si>
  <si>
    <t>MAJOR STREAM INFORMATION</t>
  </si>
  <si>
    <r>
      <t>BOILING TEMPERATURE AT 1ATM (</t>
    </r>
    <r>
      <rPr>
        <b/>
        <sz val="14"/>
        <color theme="1"/>
        <rFont val="Arial"/>
        <family val="2"/>
      </rPr>
      <t>°</t>
    </r>
    <r>
      <rPr>
        <b/>
        <sz val="14"/>
        <color theme="1"/>
        <rFont val="맑은 고딕"/>
        <family val="2"/>
        <scheme val="minor"/>
      </rPr>
      <t>C)</t>
    </r>
  </si>
  <si>
    <t>Hydrogen (96 %vol)</t>
  </si>
  <si>
    <t>Energy efficiency (%)_For only Ethylene</t>
  </si>
  <si>
    <t>Energy efficiency (%)_For all Hydrocarbon</t>
  </si>
  <si>
    <t>Direct plan cost</t>
  </si>
  <si>
    <t>Indirect plant cost</t>
  </si>
  <si>
    <t>Total capital investment cost (TCI)</t>
  </si>
  <si>
    <t>Equipment setting</t>
  </si>
  <si>
    <t>Instrumentation and control</t>
  </si>
  <si>
    <t>Piping</t>
  </si>
  <si>
    <t>Electrical installation</t>
  </si>
  <si>
    <t>Building and building services</t>
  </si>
  <si>
    <t>Yard improvements</t>
  </si>
  <si>
    <t>Services facilities</t>
  </si>
  <si>
    <t>Engineering</t>
  </si>
  <si>
    <t>Construction expenses</t>
  </si>
  <si>
    <t>Legal expenses</t>
  </si>
  <si>
    <t>Contractor's fee</t>
  </si>
  <si>
    <t>Contingency</t>
  </si>
  <si>
    <t xml:space="preserve">Operationg cost </t>
  </si>
  <si>
    <t>Raw materials</t>
  </si>
  <si>
    <t>Utilities</t>
  </si>
  <si>
    <t>Unit price</t>
  </si>
  <si>
    <t>Unit</t>
  </si>
  <si>
    <t>kg/h</t>
  </si>
  <si>
    <t>Amount</t>
  </si>
  <si>
    <t>MJ/h</t>
  </si>
  <si>
    <t>UTILYTY CONSUMPTION</t>
  </si>
  <si>
    <t>`</t>
  </si>
  <si>
    <t>kWh</t>
  </si>
  <si>
    <t>CO2 emission</t>
  </si>
  <si>
    <t>Variable operating cost</t>
  </si>
  <si>
    <t>Fixed operating costs</t>
  </si>
  <si>
    <t>-47~36</t>
  </si>
  <si>
    <t>Utility</t>
  </si>
  <si>
    <t>Weight factor</t>
  </si>
  <si>
    <t>$/kg</t>
  </si>
  <si>
    <t>$/kWh</t>
  </si>
  <si>
    <t>$/ton</t>
  </si>
  <si>
    <t>Interest rate (r)</t>
  </si>
  <si>
    <t>Life time (n)</t>
  </si>
  <si>
    <t>Annual factor (a(r,n))</t>
  </si>
  <si>
    <t>Variable operating cost ($/year)</t>
  </si>
  <si>
    <t>ton</t>
  </si>
  <si>
    <t>MJ</t>
  </si>
  <si>
    <t>ton/y</t>
  </si>
  <si>
    <t>Total amount (year)</t>
  </si>
  <si>
    <t>Original ($)</t>
  </si>
  <si>
    <t>Production</t>
  </si>
  <si>
    <t>kg</t>
  </si>
  <si>
    <t>kton</t>
  </si>
  <si>
    <t>TCI</t>
  </si>
  <si>
    <t>$/MMBTU</t>
  </si>
  <si>
    <t>MMBTU</t>
  </si>
  <si>
    <t>Profit</t>
  </si>
  <si>
    <t>$/y</t>
  </si>
  <si>
    <t>Annualized TPI ($/year)</t>
  </si>
  <si>
    <t>Changed</t>
  </si>
  <si>
    <t>%</t>
  </si>
  <si>
    <t>1 MMBTU = 28.263682 m3 NG</t>
  </si>
  <si>
    <t>Crude Naphthalene (95.7 %wt)</t>
  </si>
  <si>
    <t>Depreciation = TPI / Life time</t>
  </si>
  <si>
    <t>Tax = (Profit - Depreciation)* Tax rate</t>
  </si>
  <si>
    <t>ROI = Profit - Tax</t>
  </si>
  <si>
    <t>Profit = Revenue - Expenses</t>
  </si>
  <si>
    <t>Expense = Variable + Fixed costs</t>
  </si>
  <si>
    <t>Tax rate</t>
  </si>
  <si>
    <t>Annualized TPI (Return on investment ROI)</t>
  </si>
  <si>
    <t>Depreciation</t>
  </si>
  <si>
    <t>Tax</t>
  </si>
  <si>
    <t>Expense</t>
  </si>
  <si>
    <t>Naphthalene and benzene price in correlation to ethylene price</t>
  </si>
  <si>
    <t>Total capital investment cost (TCI) ($)</t>
  </si>
  <si>
    <t>Revenue (at break-even point) ($)</t>
  </si>
  <si>
    <t>H2 price in correlation to NG gas H2=0.1515NG+0.9287 ($/kg)</t>
  </si>
  <si>
    <t>Improve by burning coke_Hydrocarbon</t>
  </si>
  <si>
    <t>Heat recovery by burning coke (included) (MJ)</t>
  </si>
  <si>
    <t>Natural gas for Fired heat</t>
  </si>
  <si>
    <t>https://doi.org/10.1016/j.joule.2018.01.001</t>
  </si>
  <si>
    <t>PURCHASED EQUIPMENT COST ($)</t>
  </si>
  <si>
    <t>FACTOR FOR TCI</t>
  </si>
  <si>
    <t>Production cost</t>
  </si>
  <si>
    <t>Minimum selling price of ethylene - MSP ($/kg)</t>
  </si>
  <si>
    <t>1MMBTU=1055MJ, 4251 MMBTU, 0.85 ef by Gavin Towler book</t>
  </si>
  <si>
    <r>
      <t xml:space="preserve">Inter.value (1+r) </t>
    </r>
    <r>
      <rPr>
        <vertAlign val="superscript"/>
        <sz val="11"/>
        <rFont val="맑은 고딕"/>
        <family val="2"/>
        <scheme val="minor"/>
      </rPr>
      <t>n</t>
    </r>
  </si>
  <si>
    <t>Douglas_KoltsegFuggvenyek estimated for HE</t>
  </si>
  <si>
    <t>lb</t>
  </si>
  <si>
    <t>Reactor (R1+E1)_1245MW</t>
  </si>
  <si>
    <t>ECONOMIC CALCULATION</t>
  </si>
  <si>
    <t>Ben=0.695ethylene - 37.031/1000 ($/kg), Nap=0.5/0.65*Ben ($/kg)</t>
  </si>
  <si>
    <t>Acetylene = 0.65 ethylene</t>
  </si>
  <si>
    <t>Raw Acethylene (95.1 %vol)</t>
  </si>
  <si>
    <t xml:space="preserve">Location </t>
  </si>
  <si>
    <t>Interest rate</t>
  </si>
  <si>
    <t>Depreciation method</t>
  </si>
  <si>
    <t>System Cost Base Date</t>
  </si>
  <si>
    <t>Project Type</t>
  </si>
  <si>
    <t>Plant lifetime (y)</t>
  </si>
  <si>
    <t>Annual operating hours (h)</t>
  </si>
  <si>
    <t>Interest rate (%)</t>
  </si>
  <si>
    <t>Tax rate (%)</t>
  </si>
  <si>
    <t>ASSUMPTION AND PARAMETERS</t>
  </si>
  <si>
    <t>Straight line</t>
  </si>
  <si>
    <t>1. Assumption and parameters</t>
  </si>
  <si>
    <t>3. Sensitivity analysis</t>
  </si>
  <si>
    <t>MT/y</t>
  </si>
  <si>
    <t>CH4Fd ton/y</t>
  </si>
  <si>
    <t>M$/y</t>
  </si>
  <si>
    <t>Steam</t>
  </si>
  <si>
    <t>Other</t>
  </si>
  <si>
    <t>revenue</t>
  </si>
  <si>
    <t>Crude Naphthalene</t>
  </si>
  <si>
    <t>Raw Acethylene</t>
  </si>
  <si>
    <t>Revenue</t>
  </si>
  <si>
    <t>Production costs</t>
  </si>
  <si>
    <t>Annualized TCI</t>
  </si>
  <si>
    <t>Natural gas</t>
  </si>
  <si>
    <t>2. Calculation of Production Costs and Revenue</t>
  </si>
  <si>
    <t>Natural gas price</t>
  </si>
  <si>
    <t>Lifetime</t>
  </si>
  <si>
    <t>Refrigeration price</t>
  </si>
  <si>
    <t>Electricity price</t>
  </si>
  <si>
    <t>Cooling water price</t>
  </si>
  <si>
    <t>Based</t>
  </si>
  <si>
    <t xml:space="preserve">Sensitivity </t>
  </si>
  <si>
    <t>Total production costs</t>
  </si>
  <si>
    <t>Gap value</t>
  </si>
  <si>
    <t>Increase (%)</t>
  </si>
  <si>
    <t>Sensitivity on Total production cost</t>
  </si>
  <si>
    <t>DC</t>
  </si>
  <si>
    <t>IDC</t>
  </si>
  <si>
    <t>VOC</t>
  </si>
  <si>
    <t>FOC</t>
  </si>
  <si>
    <t>Fuel_NG</t>
  </si>
  <si>
    <t>Raw material_NG</t>
  </si>
  <si>
    <t>Products</t>
  </si>
  <si>
    <t>Mole flowrate (kmol/h)</t>
  </si>
  <si>
    <t>Mass flow rate (kg/h)</t>
  </si>
  <si>
    <t>Value (MM$)</t>
  </si>
  <si>
    <t>Capacity (kton/y)</t>
  </si>
  <si>
    <t>Unit price ($/kg)</t>
  </si>
  <si>
    <t>Sale credits (M$/y)</t>
  </si>
  <si>
    <t>Production and credits (MM$/y)</t>
  </si>
  <si>
    <t>Process input materials</t>
  </si>
  <si>
    <t>Feed H2/CH4 ratio</t>
  </si>
  <si>
    <t>Previous</t>
  </si>
  <si>
    <t>Case 1</t>
  </si>
  <si>
    <t>Case 2</t>
  </si>
  <si>
    <t>Case 3</t>
  </si>
  <si>
    <t>Case 4</t>
  </si>
  <si>
    <t>Product/By-product</t>
  </si>
  <si>
    <t>C2-C5 hydrocarbon</t>
  </si>
  <si>
    <t>Naphthalene (&gt;95 %wt)</t>
  </si>
  <si>
    <t>Benzene (&gt;98 %wt)</t>
  </si>
  <si>
    <t>CW</t>
  </si>
  <si>
    <t>ton/h</t>
  </si>
  <si>
    <t>HPS (0.78 kWh/kg)</t>
  </si>
  <si>
    <t>LPS (0.75 kWh/kg)</t>
  </si>
  <si>
    <t>Enerygy consumption</t>
  </si>
  <si>
    <t>tonne/hr</t>
  </si>
  <si>
    <t>MCOMPR</t>
  </si>
  <si>
    <t>MCOMP1</t>
  </si>
  <si>
    <t>FLASH2</t>
  </si>
  <si>
    <t>High-pressure steam</t>
  </si>
  <si>
    <t>Low-pressure steam</t>
  </si>
  <si>
    <t>MCOMP2</t>
  </si>
  <si>
    <t>kg/day</t>
  </si>
  <si>
    <t>37-H2PRO</t>
  </si>
  <si>
    <t>28-C2C5</t>
  </si>
  <si>
    <t>TOL</t>
  </si>
  <si>
    <t xml:space="preserve">Case1 </t>
  </si>
  <si>
    <t>C2-C5</t>
  </si>
  <si>
    <t>[Carbon] (kmol/h)</t>
  </si>
  <si>
    <t>[Energy] (kWh)</t>
  </si>
  <si>
    <t>(MJ/kg)</t>
  </si>
  <si>
    <t xml:space="preserve">HHV </t>
  </si>
  <si>
    <t>(kWh/kg)</t>
  </si>
  <si>
    <t>Carbon efficiency (CEF - %)</t>
  </si>
  <si>
    <t>Energy efficiency (EEF - %)</t>
  </si>
  <si>
    <t>EEF - Total</t>
  </si>
  <si>
    <t>[C] kmol/h</t>
  </si>
  <si>
    <t xml:space="preserve">SUMMARY </t>
  </si>
  <si>
    <t>Carbon flow &amp; carbon efficiency</t>
  </si>
  <si>
    <t>Energy flow &amp; energy efficiency</t>
  </si>
  <si>
    <t>20D</t>
  </si>
  <si>
    <t>21D</t>
  </si>
  <si>
    <t>26-C2+</t>
  </si>
  <si>
    <t>26D</t>
  </si>
  <si>
    <t>27D</t>
  </si>
  <si>
    <t>28D</t>
  </si>
  <si>
    <t>44-RECY</t>
  </si>
  <si>
    <t>45D</t>
  </si>
  <si>
    <t>S2</t>
  </si>
  <si>
    <t>S3</t>
  </si>
  <si>
    <t>S4</t>
  </si>
  <si>
    <t>S5</t>
  </si>
  <si>
    <t>S6</t>
  </si>
  <si>
    <t>S7</t>
  </si>
  <si>
    <t>MHX4</t>
  </si>
  <si>
    <t>MHX3</t>
  </si>
  <si>
    <t>T1DST</t>
  </si>
  <si>
    <t>MHX2</t>
  </si>
  <si>
    <t>T2DST</t>
  </si>
  <si>
    <t>T3DST</t>
  </si>
  <si>
    <t>MHX1</t>
  </si>
  <si>
    <t>Case 1: Feed H2/CH4=4.56</t>
  </si>
  <si>
    <t>S8</t>
  </si>
  <si>
    <t>HX9</t>
  </si>
  <si>
    <t>Case 2: Feed H2/CH4=3.44</t>
  </si>
  <si>
    <t>Case 3: Feed H2/CH4=2.33</t>
  </si>
  <si>
    <t>Case 4: Feed H2/CH4=1.22</t>
  </si>
  <si>
    <t>Name</t>
  </si>
  <si>
    <t>Equipment Cost [USD]</t>
  </si>
  <si>
    <t>Installed Cost [USD]</t>
  </si>
  <si>
    <t>Equipment Weight [KG]</t>
  </si>
  <si>
    <t>Installed Weight [KG]</t>
  </si>
  <si>
    <t>R1.B2</t>
  </si>
  <si>
    <t>CASE 1</t>
  </si>
  <si>
    <t>Expenditure ($) = revenue at MSP</t>
  </si>
  <si>
    <t>Gcal</t>
  </si>
  <si>
    <t>FUELGAS</t>
  </si>
  <si>
    <t>CO</t>
  </si>
  <si>
    <t>N2</t>
  </si>
  <si>
    <t>CH4 feedstock</t>
  </si>
  <si>
    <t>CH4 fuelgas</t>
  </si>
  <si>
    <t>-</t>
  </si>
  <si>
    <t>1FUELGAS</t>
  </si>
  <si>
    <t>HX-LPS2</t>
  </si>
  <si>
    <t>HX-HPS</t>
  </si>
  <si>
    <t>HX-LPS1</t>
  </si>
  <si>
    <t>DECOKING</t>
  </si>
  <si>
    <t>EXHAUTED</t>
  </si>
  <si>
    <t>S14</t>
  </si>
  <si>
    <t>S17</t>
  </si>
  <si>
    <t>Reactor</t>
  </si>
  <si>
    <t>Purchased equipment cost ($)</t>
  </si>
  <si>
    <t>Compressor</t>
  </si>
  <si>
    <t xml:space="preserve">TOTAL </t>
  </si>
  <si>
    <t>1. Total capital investment cost (TCI) ($)</t>
  </si>
  <si>
    <t>1.1. Direct plan cost</t>
  </si>
  <si>
    <t>1.2. Indirect plant cost</t>
  </si>
  <si>
    <t>2.1. Variable operating cost</t>
  </si>
  <si>
    <t>Fuel gas</t>
  </si>
  <si>
    <t>Assumption</t>
  </si>
  <si>
    <t>Value</t>
  </si>
  <si>
    <t>Yeraly consumprtion (8000 hr/y)</t>
  </si>
  <si>
    <t>Capital charge factor</t>
  </si>
  <si>
    <t>Expense (OPEX) = Variable + Fixed costs</t>
  </si>
  <si>
    <t>Expenditure ($)</t>
  </si>
  <si>
    <t>Product</t>
  </si>
  <si>
    <t>Production amount (kg/y)</t>
  </si>
  <si>
    <t>MSP_Ethylene (99.9% vol)</t>
  </si>
  <si>
    <t>Natural gas feedstock</t>
  </si>
  <si>
    <t>Operating charges [% of operating labor cost]</t>
  </si>
  <si>
    <t xml:space="preserve">Plant overhead [% of labor and maintenance costs] </t>
  </si>
  <si>
    <t xml:space="preserve">G&amp;A [% of fixed-operating cost] </t>
  </si>
  <si>
    <t>2. Total perationg cost ($)</t>
  </si>
  <si>
    <t>kg/y</t>
  </si>
  <si>
    <t>C2-C5 hydrocarbon (85%vol C2, 15% C3-C5)</t>
  </si>
  <si>
    <t>etrhane 8.7 cent/lb (https://investors.westlake.com/industry-pricing/default.aspx)</t>
  </si>
  <si>
    <t>0.955 $/kg ethylene (korean market 2020 - https://www.fibre2fashion.com/market-intelligence/textile-market-watch/ethylene-price-trends-industry-reports/16/?gcode=1)</t>
  </si>
  <si>
    <t>UPC_Ethylene</t>
  </si>
  <si>
    <t>Total production cost ($/y)</t>
  </si>
  <si>
    <t>Raw Naphthalene</t>
  </si>
  <si>
    <t>UPC</t>
  </si>
  <si>
    <t>Annualized capital cost</t>
  </si>
  <si>
    <t>Raw material</t>
  </si>
  <si>
    <t>Fixed operating cost</t>
  </si>
  <si>
    <t>Credit_Hydrogen</t>
  </si>
  <si>
    <t>Credit_Raw Naphthalene</t>
  </si>
  <si>
    <t>Credit_Benzene</t>
  </si>
  <si>
    <t>Credit_C2-C5</t>
  </si>
  <si>
    <t>Credit_Raw Acethylene</t>
  </si>
  <si>
    <t>MSP</t>
  </si>
  <si>
    <t>2. Production Costs, UPC, and MSP</t>
  </si>
  <si>
    <t>Return on investment</t>
  </si>
  <si>
    <t>Storage</t>
  </si>
  <si>
    <t>Naphthalene</t>
  </si>
  <si>
    <t xml:space="preserve">Benzene </t>
  </si>
  <si>
    <t>Catalytic conversion</t>
  </si>
  <si>
    <t>Flash tank &amp; column</t>
  </si>
  <si>
    <t>TOTAL</t>
  </si>
  <si>
    <t>1 kWh = 0.003412 MMBTU</t>
  </si>
  <si>
    <t>MMBTU/y</t>
  </si>
  <si>
    <t>Conventional</t>
  </si>
  <si>
    <t>CAPEX</t>
  </si>
  <si>
    <t>NCE:</t>
  </si>
  <si>
    <t>Direct emission</t>
  </si>
  <si>
    <t>Indirect emission</t>
  </si>
  <si>
    <t>Ethylene kg/y</t>
  </si>
  <si>
    <t>kgCO2/y</t>
  </si>
  <si>
    <t>Net CO2eq emission</t>
  </si>
  <si>
    <t>Grid-Electricity</t>
  </si>
  <si>
    <t>Res-Electricity</t>
  </si>
  <si>
    <t>Yearly consumprtion (8000 hr/y)</t>
  </si>
  <si>
    <t>OCM</t>
  </si>
  <si>
    <t>Fired-heat</t>
  </si>
  <si>
    <t>MTO</t>
  </si>
  <si>
    <t>Sorbent H2PSA</t>
  </si>
  <si>
    <t>Sorbent COPSA</t>
  </si>
  <si>
    <t>B2</t>
  </si>
  <si>
    <t>PUMP</t>
  </si>
  <si>
    <t>CO2 feed</t>
  </si>
  <si>
    <t>(b) Utilities</t>
  </si>
  <si>
    <t>(a) Feedstock</t>
  </si>
  <si>
    <t>Feedstock inventory</t>
  </si>
  <si>
    <t>Credit_CO</t>
  </si>
  <si>
    <t>Credit_CO2</t>
  </si>
  <si>
    <t>MEA</t>
  </si>
  <si>
    <t>H2O</t>
  </si>
  <si>
    <t>H3O+</t>
  </si>
  <si>
    <t>OH-</t>
  </si>
  <si>
    <t>HCO3-</t>
  </si>
  <si>
    <t>CO3-2</t>
  </si>
  <si>
    <t>MEAH+</t>
  </si>
  <si>
    <t>MEACOO-</t>
  </si>
  <si>
    <t>H2S</t>
  </si>
  <si>
    <t>HS-</t>
  </si>
  <si>
    <t>S-2</t>
  </si>
  <si>
    <t>Heat exchanger</t>
  </si>
  <si>
    <t>Cold stream</t>
  </si>
  <si>
    <t>Cold T in</t>
  </si>
  <si>
    <t>Cold T out</t>
  </si>
  <si>
    <t>Hot stream</t>
  </si>
  <si>
    <t>Hot T in</t>
  </si>
  <si>
    <t>Hot T out</t>
  </si>
  <si>
    <t>Load (kJ/h)</t>
  </si>
  <si>
    <t>Load (MW)</t>
  </si>
  <si>
    <t>Area (m2)</t>
  </si>
  <si>
    <t>E-110</t>
  </si>
  <si>
    <t>39_To_42</t>
  </si>
  <si>
    <t>5_To_10</t>
  </si>
  <si>
    <t>E-111</t>
  </si>
  <si>
    <t>3_To_4</t>
  </si>
  <si>
    <t>E-112</t>
  </si>
  <si>
    <t>31_To_35</t>
  </si>
  <si>
    <t>E-113</t>
  </si>
  <si>
    <t>45_To_46</t>
  </si>
  <si>
    <t>E-114</t>
  </si>
  <si>
    <t>14_To_15</t>
  </si>
  <si>
    <t>E-115</t>
  </si>
  <si>
    <t>E-116</t>
  </si>
  <si>
    <t>E-117</t>
  </si>
  <si>
    <t>To Reboiler@T3_TO_28-C2C5</t>
  </si>
  <si>
    <t>22_To_24</t>
  </si>
  <si>
    <t>E-118</t>
  </si>
  <si>
    <t>To Condenser@T3_TO_27-ETHYL</t>
  </si>
  <si>
    <t>E-119</t>
  </si>
  <si>
    <t>To Reboiler@T2_TO_26-C2+</t>
  </si>
  <si>
    <t>17_To_18</t>
  </si>
  <si>
    <t>E-120</t>
  </si>
  <si>
    <t>V3_heat</t>
  </si>
  <si>
    <t>E-121</t>
  </si>
  <si>
    <t>CRYOTEMP</t>
  </si>
  <si>
    <t>29_To_30</t>
  </si>
  <si>
    <t>E-122</t>
  </si>
  <si>
    <t>To Condenser@T1_TO_21</t>
  </si>
  <si>
    <t>E-123</t>
  </si>
  <si>
    <t>To Condenser@T2_TO_45Duplicate</t>
  </si>
  <si>
    <t>E-124</t>
  </si>
  <si>
    <t>To Reboiler@T1_TO_20-BEN</t>
  </si>
  <si>
    <t>FIRED</t>
  </si>
  <si>
    <t>E-125</t>
  </si>
  <si>
    <t>E-126</t>
  </si>
  <si>
    <t>V5_heat</t>
  </si>
  <si>
    <t>E-127</t>
  </si>
  <si>
    <t>V4_heat</t>
  </si>
  <si>
    <t>E-128</t>
  </si>
  <si>
    <t>E-129</t>
  </si>
  <si>
    <t>V1_heat</t>
  </si>
  <si>
    <t>E-130</t>
  </si>
  <si>
    <t>E-131</t>
  </si>
  <si>
    <t>E-132</t>
  </si>
  <si>
    <t>E-133</t>
  </si>
  <si>
    <t xml:space="preserve">Heating requirement </t>
  </si>
  <si>
    <t xml:space="preserve">Cooling requirement </t>
  </si>
  <si>
    <t>Cat</t>
  </si>
  <si>
    <t>Before</t>
  </si>
  <si>
    <t>After</t>
  </si>
  <si>
    <t>Compress &amp; G/L sep</t>
  </si>
  <si>
    <t>Compression and G/L separation</t>
  </si>
  <si>
    <t>Coldbox and cryogenic separation</t>
  </si>
  <si>
    <t>SUM</t>
  </si>
  <si>
    <t>Cryogenic separation and recovery</t>
  </si>
  <si>
    <t>LBS</t>
  </si>
  <si>
    <t>R1.RADIANT1</t>
  </si>
  <si>
    <t>R1.M5</t>
  </si>
  <si>
    <t>R1.M402</t>
  </si>
  <si>
    <t>R1.DECOKING</t>
  </si>
  <si>
    <t>R1.CONVECT2</t>
  </si>
  <si>
    <t>R1.CONVECT1</t>
  </si>
  <si>
    <t>R1.COMBUST</t>
  </si>
  <si>
    <t>R1.B6</t>
  </si>
  <si>
    <t>E9</t>
  </si>
  <si>
    <t>E8</t>
  </si>
  <si>
    <t>E6</t>
  </si>
  <si>
    <t>E5</t>
  </si>
  <si>
    <t>E10</t>
  </si>
  <si>
    <t>H2PSA</t>
  </si>
  <si>
    <t>Columns + sorbent</t>
  </si>
  <si>
    <t>kmoll gas in</t>
  </si>
  <si>
    <t>kmol H2</t>
  </si>
  <si>
    <t>Hydrogen (99 %vol)</t>
  </si>
  <si>
    <t>Case 4: FH_H2/CH4 1.22 at 1230</t>
  </si>
  <si>
    <t>Case 5: Feed H2/CH4=2.5 at 1150 c</t>
  </si>
  <si>
    <t>Case 5_FH</t>
  </si>
  <si>
    <t>Case 4_FH</t>
  </si>
  <si>
    <t>Case 3_FH</t>
  </si>
  <si>
    <t>Case 2_FH</t>
  </si>
  <si>
    <t>Case 1_FH</t>
  </si>
  <si>
    <t>DHCO2</t>
  </si>
  <si>
    <t>H2feed</t>
  </si>
  <si>
    <t>Sorbent CO2MEA</t>
  </si>
  <si>
    <t>Membrane DHCO2</t>
  </si>
  <si>
    <t>$/m2</t>
  </si>
  <si>
    <t>m2</t>
  </si>
  <si>
    <t>C5+ hydrocarbon</t>
  </si>
  <si>
    <t xml:space="preserve">Naphtha for cracking </t>
  </si>
  <si>
    <t>NapCracking</t>
  </si>
  <si>
    <t xml:space="preserve">NaOH for craking </t>
  </si>
  <si>
    <t xml:space="preserve">NaOH for cracking </t>
  </si>
  <si>
    <t>Naphtha for craking</t>
  </si>
  <si>
    <t>Propylene</t>
  </si>
  <si>
    <t>Credit_C5+</t>
  </si>
  <si>
    <t>Credit_Propylene</t>
  </si>
  <si>
    <t>Case 4_efurnace</t>
  </si>
  <si>
    <t>Case 5_efurnace</t>
  </si>
  <si>
    <t>H2 price $/kg</t>
  </si>
  <si>
    <t>NG price</t>
  </si>
  <si>
    <t>-20%</t>
  </si>
  <si>
    <t>+20%</t>
  </si>
  <si>
    <t xml:space="preserve">Natural gas price ($/MMBTU) </t>
  </si>
  <si>
    <t xml:space="preserve">-20%: </t>
  </si>
  <si>
    <t xml:space="preserve">+20%: </t>
  </si>
  <si>
    <t>Increase</t>
  </si>
  <si>
    <t>Grid electricity ($/kWh)</t>
  </si>
  <si>
    <t>Renewable electricity ($/kWh)</t>
  </si>
  <si>
    <t>By-profuct H2 price ($/kg)</t>
  </si>
  <si>
    <t>Based UPC</t>
  </si>
  <si>
    <t>By-product H2 price ($/kg)</t>
  </si>
  <si>
    <t>Res-Heat</t>
  </si>
  <si>
    <t>Others</t>
  </si>
  <si>
    <t>CCS</t>
  </si>
  <si>
    <t>EDH</t>
    <phoneticPr fontId="8" type="noConversion"/>
  </si>
  <si>
    <t>P-2</t>
  </si>
  <si>
    <t>H2PSA</t>
    <phoneticPr fontId="8" type="noConversion"/>
  </si>
  <si>
    <t>51-H20</t>
    <phoneticPr fontId="8" type="noConversion"/>
  </si>
  <si>
    <t>53-CO2</t>
    <phoneticPr fontId="8" type="noConversion"/>
  </si>
  <si>
    <t>REG</t>
  </si>
  <si>
    <t>ABS</t>
  </si>
  <si>
    <t>MEA</t>
    <phoneticPr fontId="8" type="noConversion"/>
  </si>
  <si>
    <t>Base UPC</t>
    <phoneticPr fontId="64" type="noConversion"/>
  </si>
  <si>
    <t>Cooling water price ($/ton) [0.024 0.030 0.036]</t>
    <phoneticPr fontId="64" type="noConversion"/>
  </si>
  <si>
    <t>Electricity price ($/kWh) [0.064 0.080 0.096]</t>
    <phoneticPr fontId="64" type="noConversion"/>
  </si>
  <si>
    <t>Life time (years) [24 30 36]</t>
    <phoneticPr fontId="64" type="noConversion"/>
  </si>
  <si>
    <t>Interest rate (%) [6.4 8.0 9.6]</t>
    <phoneticPr fontId="64" type="noConversion"/>
  </si>
  <si>
    <t>Gcal/hr</t>
    <phoneticPr fontId="8" type="noConversion"/>
  </si>
  <si>
    <t>MW</t>
    <phoneticPr fontId="8" type="noConversion"/>
  </si>
  <si>
    <t>Tower</t>
    <phoneticPr fontId="8" type="noConversion"/>
  </si>
  <si>
    <t>kW</t>
    <phoneticPr fontId="8" type="noConversion"/>
  </si>
  <si>
    <t>Hydrogen (99 %vol)</t>
    <phoneticPr fontId="8" type="noConversion"/>
  </si>
  <si>
    <t>C4H8</t>
  </si>
  <si>
    <t>R1 (-2409 MW)</t>
    <phoneticPr fontId="8" type="noConversion"/>
  </si>
  <si>
    <t>36-RECY</t>
  </si>
  <si>
    <t>47-RECY</t>
  </si>
  <si>
    <t>51FUEL</t>
  </si>
  <si>
    <t>52AIR</t>
  </si>
  <si>
    <t>53EXHGAS</t>
  </si>
  <si>
    <t>54DECOKE</t>
  </si>
  <si>
    <t>55-H2</t>
  </si>
  <si>
    <t>56-RECY</t>
  </si>
  <si>
    <t>BFW</t>
  </si>
  <si>
    <t>BFW2</t>
  </si>
  <si>
    <t>STM</t>
  </si>
  <si>
    <t>B6</t>
  </si>
  <si>
    <t>Feedstock</t>
    <phoneticPr fontId="8" type="noConversion"/>
  </si>
  <si>
    <t>Case 1</t>
    <phoneticPr fontId="8" type="noConversion"/>
  </si>
  <si>
    <t>Case 2</t>
    <phoneticPr fontId="8" type="noConversion"/>
  </si>
  <si>
    <t>Case 3</t>
    <phoneticPr fontId="8" type="noConversion"/>
  </si>
  <si>
    <t>Case 4</t>
    <phoneticPr fontId="8" type="noConversion"/>
  </si>
  <si>
    <t>Natural gas price ($/MMBTU) [2.62 3.27 3.92]</t>
    <phoneticPr fontId="64" type="noConversion"/>
  </si>
  <si>
    <t>Oxygen price ($/ton) [32 40 48]</t>
    <phoneticPr fontId="64" type="noConversion"/>
  </si>
  <si>
    <t>Hydrogen price ($/kg) [3.16 3.95 4.74]</t>
    <phoneticPr fontId="64" type="noConversion"/>
  </si>
  <si>
    <t>Benzene price ($/kg) [0.50 0.63 0.76]</t>
    <phoneticPr fontId="64" type="noConversion"/>
  </si>
  <si>
    <t>Electricity price</t>
    <phoneticPr fontId="8" type="noConversion"/>
  </si>
  <si>
    <t>\</t>
    <phoneticPr fontId="8" type="noConversion"/>
  </si>
  <si>
    <t>R1 (-3438 MW)</t>
    <phoneticPr fontId="8" type="noConversion"/>
  </si>
  <si>
    <t>R1 (-1944 MW)</t>
    <phoneticPr fontId="8" type="noConversion"/>
  </si>
  <si>
    <t>R1 (-1655 MW)</t>
    <phoneticPr fontId="8" type="noConversion"/>
  </si>
  <si>
    <t>CCS</t>
    <phoneticPr fontId="8" type="noConversion"/>
  </si>
  <si>
    <t>GJ/hr</t>
    <phoneticPr fontId="8" type="noConversion"/>
  </si>
  <si>
    <t>R1 (-3438 MW)</t>
  </si>
  <si>
    <t>R1 (-2409 MW)</t>
  </si>
  <si>
    <t>R1 (-1944 MW)</t>
  </si>
  <si>
    <t>R1 (-1655 MW)</t>
  </si>
  <si>
    <t>Case 4_EF</t>
    <phoneticPr fontId="8" type="noConversion"/>
  </si>
  <si>
    <t>Case 1_EF</t>
    <phoneticPr fontId="8" type="noConversion"/>
  </si>
  <si>
    <t>Case 2_EF</t>
    <phoneticPr fontId="8" type="noConversion"/>
  </si>
  <si>
    <t>Case 3_EF</t>
    <phoneticPr fontId="8" type="noConversion"/>
  </si>
  <si>
    <t>H-1</t>
  </si>
  <si>
    <t>P-1</t>
  </si>
  <si>
    <t>REG-bottoms split</t>
  </si>
  <si>
    <t>REG-cond</t>
  </si>
  <si>
    <t>REG-cond acc</t>
  </si>
  <si>
    <t>REG-overhead split</t>
  </si>
  <si>
    <t>REG-reb</t>
  </si>
  <si>
    <t>REG-reflux pump</t>
  </si>
  <si>
    <t>REG-tower</t>
  </si>
  <si>
    <t>MIX-1</t>
  </si>
  <si>
    <t>HX-1</t>
  </si>
  <si>
    <t>B4-flash vessel</t>
  </si>
  <si>
    <t>ABS-tower</t>
  </si>
  <si>
    <t>Heat exchanger</t>
    <phoneticPr fontId="8" type="noConversion"/>
  </si>
  <si>
    <t>m2</t>
    <phoneticPr fontId="8" type="noConversion"/>
  </si>
  <si>
    <t>area</t>
    <phoneticPr fontId="8" type="noConversion"/>
  </si>
  <si>
    <t>Process water</t>
    <phoneticPr fontId="8" type="noConversion"/>
  </si>
  <si>
    <t>ft2</t>
    <phoneticPr fontId="8" type="noConversion"/>
  </si>
  <si>
    <t>M2</t>
    <phoneticPr fontId="8" type="noConversion"/>
  </si>
  <si>
    <t>Carbon credit</t>
    <phoneticPr fontId="8" type="noConversion"/>
  </si>
  <si>
    <t>Case 1 (BASE)</t>
  </si>
  <si>
    <t>Case 2 (BASE)</t>
  </si>
  <si>
    <t>Case 3 (BASE)</t>
  </si>
  <si>
    <t>Case 4 (BASE)</t>
  </si>
  <si>
    <t>Case 1 (Base)</t>
  </si>
  <si>
    <t>Case 2 (Base)</t>
  </si>
  <si>
    <t>Case 3 (Base)</t>
    <phoneticPr fontId="8" type="noConversion"/>
  </si>
  <si>
    <t>Case 4 (Base)</t>
    <phoneticPr fontId="8" type="noConversion"/>
  </si>
  <si>
    <t>Case 17: Feed H2/CH4=4.09091, LPM=2.2, T=1280, SV = 30.5</t>
    <phoneticPr fontId="8" type="noConversion"/>
  </si>
  <si>
    <t>Case 18: Feed H2/CH4=2.95455, LPM=2.2, T=1250, SV = 23.7</t>
    <phoneticPr fontId="8" type="noConversion"/>
  </si>
  <si>
    <t>Case 19: Feed H2/CH4=2.95455, LPM=2.2, T=1240, SV = 23.7</t>
    <phoneticPr fontId="8" type="noConversion"/>
  </si>
  <si>
    <t>Case 20: Feed H2/CH4=2.95455, LPM=2.2, T=1230, SV = 23.7</t>
    <phoneticPr fontId="8" type="noConversion"/>
  </si>
  <si>
    <t>Case 21: Feed H2/CH4=4.09091, LPM=2.2, T=1220, SV = 30.5</t>
    <phoneticPr fontId="8" type="noConversion"/>
  </si>
  <si>
    <t>Case 22: Feed H2/CH4=4.09091, LPM=2.2, T=1210, SV = 30.5</t>
    <phoneticPr fontId="8" type="noConversion"/>
  </si>
  <si>
    <t>Case 23: Feed H2/CH4=3.86196, LPM=2.3, T=1200, SV = 30.3</t>
    <phoneticPr fontId="8" type="noConversion"/>
  </si>
  <si>
    <t>Case 24: Feed H2/CH4=4.18182, LPM=1.1, T=1150, SV = 15.5</t>
    <phoneticPr fontId="8" type="noConversion"/>
  </si>
  <si>
    <t>Case 25: Feed H2/CH4=3.38462, LPM=1.3, T=1150, SV = 15.5</t>
    <phoneticPr fontId="8" type="noConversion"/>
  </si>
  <si>
    <t>Case 1 (Base w CCS)</t>
  </si>
  <si>
    <t>Case 1 (Base w CCS)</t>
    <phoneticPr fontId="8" type="noConversion"/>
  </si>
  <si>
    <t>Case 2 (Base w CCS)</t>
  </si>
  <si>
    <t>Case 3 (Base w CCS)</t>
  </si>
  <si>
    <t>Case 4 (Base w CCS)</t>
  </si>
  <si>
    <t>Case 2 (Base w CCS)</t>
    <phoneticPr fontId="8" type="noConversion"/>
  </si>
  <si>
    <t>Case 3 (Base w CCS)</t>
    <phoneticPr fontId="8" type="noConversion"/>
  </si>
  <si>
    <t>Case 4 (Base w CCS)</t>
    <phoneticPr fontId="8" type="noConversion"/>
  </si>
  <si>
    <t>Case 1 (E-furnace)</t>
  </si>
  <si>
    <t>Case 1 (E-furnace)</t>
    <phoneticPr fontId="8" type="noConversion"/>
  </si>
  <si>
    <t>Case 2 (E-furnace)</t>
  </si>
  <si>
    <t>Case 2 (E-furnace)</t>
    <phoneticPr fontId="8" type="noConversion"/>
  </si>
  <si>
    <t>Case 3 (E-furnace)</t>
  </si>
  <si>
    <t>Case 3 (E-furnace)</t>
    <phoneticPr fontId="8" type="noConversion"/>
  </si>
  <si>
    <t>Case 4 (E-furnace)</t>
  </si>
  <si>
    <t>Case 4 (E-furnace)</t>
    <phoneticPr fontId="8" type="noConversion"/>
  </si>
  <si>
    <t>Case 1 (E-furnace w CCS)</t>
  </si>
  <si>
    <t>Case 1 (E-furnace w CCS)</t>
    <phoneticPr fontId="8" type="noConversion"/>
  </si>
  <si>
    <t>Case 2 (E-furnace w CCS)</t>
  </si>
  <si>
    <t>Case 2 (E-furnace w CCS)</t>
    <phoneticPr fontId="8" type="noConversion"/>
  </si>
  <si>
    <t>Case 3 (E-furnace w CCS)</t>
  </si>
  <si>
    <t>Case 3 (E-furnace w CCS)</t>
    <phoneticPr fontId="8" type="noConversion"/>
  </si>
  <si>
    <t>Case 4 (E-furnace w CCS)</t>
  </si>
  <si>
    <t>Case 4 (E-furnace w CCS)</t>
    <phoneticPr fontId="8" type="noConversion"/>
  </si>
  <si>
    <t>Deethanizer</t>
    <phoneticPr fontId="8" type="noConversion"/>
  </si>
  <si>
    <t>kmol/h</t>
    <phoneticPr fontId="8" type="noConversion"/>
  </si>
  <si>
    <t>C2-C3</t>
    <phoneticPr fontId="8" type="noConversion"/>
  </si>
  <si>
    <t>Case 1 (Base)</t>
    <phoneticPr fontId="8" type="noConversion"/>
  </si>
  <si>
    <t>Case 2 (Base)</t>
    <phoneticPr fontId="8" type="noConversion"/>
  </si>
  <si>
    <t>Case 17: FH_H2/CH4 1.22 at 1230</t>
    <phoneticPr fontId="8" type="noConversion"/>
  </si>
  <si>
    <t>Case 18: FH_H2/CH4 1.22 at 1230</t>
    <phoneticPr fontId="8" type="noConversion"/>
  </si>
  <si>
    <t>Case 19: FH_H2/CH4 1.22 at 1230</t>
    <phoneticPr fontId="8" type="noConversion"/>
  </si>
  <si>
    <t>Case 20: FH_H2/CH4 1.22 at 1230</t>
    <phoneticPr fontId="8" type="noConversion"/>
  </si>
  <si>
    <t>Case 21: FH_H2/CH4 1.22 at 1230</t>
    <phoneticPr fontId="8" type="noConversion"/>
  </si>
  <si>
    <t>Case 22: FH_H2/CH4 1.22 at 1230</t>
    <phoneticPr fontId="8" type="noConversion"/>
  </si>
  <si>
    <t>Case 23: FH_H2/CH4 1.22 at 1230</t>
    <phoneticPr fontId="8" type="noConversion"/>
  </si>
  <si>
    <t>Case 24: FH_H2/CH4 1.22 at 1230</t>
    <phoneticPr fontId="8" type="noConversion"/>
  </si>
  <si>
    <t>Case 25: FH_H2/CH4 1.22 at 1230</t>
    <phoneticPr fontId="8" type="noConversion"/>
  </si>
  <si>
    <t>R1 (-2246 MW)</t>
    <phoneticPr fontId="8" type="noConversion"/>
  </si>
  <si>
    <t>R1 (-1721 MW)</t>
    <phoneticPr fontId="8" type="noConversion"/>
  </si>
  <si>
    <t>R1 (-2045 MW)</t>
    <phoneticPr fontId="8" type="noConversion"/>
  </si>
  <si>
    <t>R1 (-2304 MW)</t>
    <phoneticPr fontId="8" type="noConversion"/>
  </si>
  <si>
    <t>R1 (-4292 MW)</t>
    <phoneticPr fontId="8" type="noConversion"/>
  </si>
  <si>
    <t>R1 (-4989 MW)</t>
    <phoneticPr fontId="8" type="noConversion"/>
  </si>
  <si>
    <t>R1 (-5630 MW)</t>
    <phoneticPr fontId="8" type="noConversion"/>
  </si>
  <si>
    <t>R1 (-6762 MW)</t>
    <phoneticPr fontId="8" type="noConversion"/>
  </si>
  <si>
    <t>R1 (-5343 MW)</t>
    <phoneticPr fontId="8" type="noConversion"/>
  </si>
  <si>
    <t>E2</t>
    <phoneticPr fontId="8" type="noConversion"/>
  </si>
  <si>
    <t>Scale(tonne/year)</t>
    <phoneticPr fontId="8" type="noConversion"/>
  </si>
  <si>
    <t>Capital cost($)</t>
    <phoneticPr fontId="8" type="noConversion"/>
  </si>
  <si>
    <t>Furnace (Heater)</t>
    <phoneticPr fontId="8" type="noConversion"/>
  </si>
  <si>
    <t>MMbtu/h</t>
    <phoneticPr fontId="8" type="noConversion"/>
  </si>
  <si>
    <t>required</t>
    <phoneticPr fontId="8" type="noConversion"/>
  </si>
  <si>
    <t>CFB Pyrolyzer</t>
    <phoneticPr fontId="8" type="noConversion"/>
  </si>
  <si>
    <t>t/d</t>
    <phoneticPr fontId="8" type="noConversion"/>
  </si>
  <si>
    <t>feed(plastic)</t>
    <phoneticPr fontId="8" type="noConversion"/>
  </si>
  <si>
    <t>Cyclone</t>
    <phoneticPr fontId="8" type="noConversion"/>
  </si>
  <si>
    <t>feed</t>
    <phoneticPr fontId="8" type="noConversion"/>
  </si>
  <si>
    <t>Electricity reactor</t>
    <phoneticPr fontId="8" type="noConversion"/>
  </si>
  <si>
    <t>Case 5: FH_H2/CH4 1.22 at 1230</t>
    <phoneticPr fontId="8" type="noConversion"/>
  </si>
  <si>
    <t>Case 6: FH_H2/CH4 1.22 at 1230</t>
    <phoneticPr fontId="8" type="noConversion"/>
  </si>
  <si>
    <t>Case 7: FH_H2/CH4 1.22 at 1230</t>
    <phoneticPr fontId="8" type="noConversion"/>
  </si>
  <si>
    <t>Case 8: FH_H2/CH4 1.22 at 1230</t>
    <phoneticPr fontId="8" type="noConversion"/>
  </si>
  <si>
    <t>Case 9: FH_H2/CH4 1.22 at 1230</t>
    <phoneticPr fontId="8" type="noConversion"/>
  </si>
  <si>
    <t>Case 10: FH_H2/CH4 1.22 at 1230</t>
    <phoneticPr fontId="8" type="noConversion"/>
  </si>
  <si>
    <t>Case 11: FH_H2/CH4 1.22 at 1230</t>
    <phoneticPr fontId="8" type="noConversion"/>
  </si>
  <si>
    <t>Case 12: FH_H2/CH4 1.22 at 1230</t>
    <phoneticPr fontId="8" type="noConversion"/>
  </si>
  <si>
    <t>Case 13: FH_H2/CH4 1.22 at 1230</t>
    <phoneticPr fontId="8" type="noConversion"/>
  </si>
  <si>
    <t>Case 14: FH_H2/CH4 1.22 at 1230</t>
    <phoneticPr fontId="8" type="noConversion"/>
  </si>
  <si>
    <t>Case 15: FH_H2/CH4 1.22 at 1230</t>
    <phoneticPr fontId="8" type="noConversion"/>
  </si>
  <si>
    <t>Case 16: FH_H2/CH4 1.22 at 1230</t>
    <phoneticPr fontId="8" type="noConversion"/>
  </si>
  <si>
    <t>Cal/sec</t>
    <phoneticPr fontId="8" type="noConversion"/>
  </si>
  <si>
    <t>tonne/hr</t>
    <phoneticPr fontId="8" type="noConversion"/>
  </si>
  <si>
    <t>REG</t>
    <phoneticPr fontId="8" type="noConversion"/>
  </si>
  <si>
    <t>Fuel gas</t>
    <phoneticPr fontId="8" type="noConversion"/>
  </si>
  <si>
    <t>Carbon tax</t>
    <phoneticPr fontId="8" type="noConversion"/>
  </si>
  <si>
    <t>$/ton CO2eq</t>
    <phoneticPr fontId="8" type="noConversion"/>
  </si>
  <si>
    <t>ton CO2</t>
    <phoneticPr fontId="8" type="noConversion"/>
  </si>
  <si>
    <t>R1 (-2418MW)</t>
  </si>
  <si>
    <t>R1 (-2418MW)</t>
    <phoneticPr fontId="8" type="noConversion"/>
  </si>
  <si>
    <t>R1 (-1880 MW)</t>
    <phoneticPr fontId="8" type="noConversion"/>
  </si>
  <si>
    <t>R1 (-1541 MW)</t>
  </si>
  <si>
    <t>R1 (-1337 MW)</t>
  </si>
  <si>
    <t>R1 (-1880 MW)</t>
  </si>
  <si>
    <t>B7</t>
  </si>
  <si>
    <t>B8</t>
  </si>
  <si>
    <t>B5-flash vessel</t>
  </si>
  <si>
    <t>B7-flash vessel</t>
  </si>
  <si>
    <t>B10</t>
  </si>
  <si>
    <t>B9-flash vessel</t>
  </si>
  <si>
    <t>B6-flash vessel</t>
  </si>
  <si>
    <t>Hydrogen price ($/kg) [2.16 2.7 3.24]</t>
    <phoneticPr fontId="64" type="noConversion"/>
  </si>
  <si>
    <t>Case 1_efurnace</t>
    <phoneticPr fontId="8" type="noConversion"/>
  </si>
  <si>
    <t>Case 2_efurnace</t>
  </si>
  <si>
    <t>Case 3_efurnace</t>
  </si>
  <si>
    <t>kmol/hr</t>
    <phoneticPr fontId="8" type="noConversion"/>
  </si>
  <si>
    <t>CO2 captured</t>
    <phoneticPr fontId="8" type="noConversion"/>
  </si>
  <si>
    <t>kWh</t>
    <phoneticPr fontId="8" type="noConversion"/>
  </si>
  <si>
    <t>kg</t>
    <phoneticPr fontId="8" type="noConversion"/>
  </si>
  <si>
    <t>MMBTU</t>
    <phoneticPr fontId="8" type="noConversion"/>
  </si>
  <si>
    <t>MMBTU/kg</t>
    <phoneticPr fontId="8" type="noConversion"/>
  </si>
  <si>
    <t>Co-products</t>
    <phoneticPr fontId="8" type="noConversion"/>
  </si>
  <si>
    <t>Operating labor cost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</si>
</sst>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76" formatCode="_(* #,##0.00_);_(* \(#,##0.00\);_(* &quot;-&quot;??_);_(@_)"/>
    <numFmt numFmtId="177" formatCode="_(* #,##0_);_(* \(#,##0\);_(* &quot;-&quot;_);_(@_)"/>
    <numFmt numFmtId="178" formatCode="0.0"/>
    <numFmt numFmtId="179" formatCode="0.00000"/>
    <numFmt numFmtId="180" formatCode="0.0000000"/>
    <numFmt numFmtId="181" formatCode="0.000000"/>
    <numFmt numFmtId="182" formatCode="0.000"/>
    <numFmt numFmtId="183" formatCode="0.0%"/>
    <numFmt numFmtId="184" formatCode="_(* #,##0.0_);_(* \(#,##0.0\);_(* &quot;-&quot;??_);_(@_)"/>
    <numFmt numFmtId="185" formatCode="_(* #,##0_);_(* \(#,##0\);_(* &quot;-&quot;??_);_(@_)"/>
    <numFmt numFmtId="186" formatCode="_(* #,##0.000_);_(* \(#,##0.000\);_(* &quot;-&quot;??_);_(@_)"/>
    <numFmt numFmtId="187" formatCode="0.00_ "/>
    <numFmt numFmtId="189" formatCode="#,##0.0"/>
    <numFmt numFmtId="190" formatCode="_-* #,##0_-;\-* #,##0_-;_-* &quot;-&quot;??_-;_-@_-"/>
    <numFmt numFmtId="191" formatCode="0.0000"/>
    <numFmt numFmtId="192" formatCode="_(* #,##0.000000_);_(* \(#,##0.000000\);_(* &quot;-&quot;??_);_(@_)"/>
    <numFmt numFmtId="193" formatCode="_-* #,##0.0_-;\-* #,##0.0_-;_-* &quot;-&quot;??_-;_-@_-"/>
    <numFmt numFmtId="194" formatCode="_-* #,##0.0_-;\-* #,##0.0_-;_-* &quot;-&quot;?_-;_-@_-"/>
    <numFmt numFmtId="195" formatCode="_-* #,##0.000_-;\-* #,##0.000_-;_-* &quot;-&quot;_-;_-@_-"/>
    <numFmt numFmtId="196" formatCode="_-* #,##0.00_-;\-* #,##0.00_-;_-* &quot;-&quot;_-;_-@_-"/>
    <numFmt numFmtId="197" formatCode="mm&quot;월&quot;\ dd&quot;일&quot;"/>
    <numFmt numFmtId="198" formatCode="0.00_);[Red]\(0.00\)"/>
    <numFmt numFmtId="199" formatCode="0_);[Red]\(0\)"/>
    <numFmt numFmtId="200" formatCode="0_ "/>
    <numFmt numFmtId="201" formatCode="#,##0_ "/>
    <numFmt numFmtId="202" formatCode="#,##0_);[Red]\(#,##0\)"/>
    <numFmt numFmtId="203" formatCode="0.0E+00"/>
    <numFmt numFmtId="204" formatCode="#,##0.0000_);\(#,##0.0000\)"/>
  </numFmts>
  <fonts count="7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  <font>
      <sz val="11"/>
      <color rgb="FF0000CC"/>
      <name val="Calibri"/>
      <family val="2"/>
    </font>
    <font>
      <vertAlign val="superscript"/>
      <sz val="11"/>
      <color rgb="FF0000CC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FF0000"/>
      <name val="돋움"/>
      <family val="3"/>
      <charset val="129"/>
    </font>
    <font>
      <b/>
      <i/>
      <sz val="11"/>
      <color rgb="FFFF0000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i/>
      <sz val="11"/>
      <color theme="1"/>
      <name val="맑은 고딕"/>
      <family val="2"/>
      <scheme val="minor"/>
    </font>
    <font>
      <b/>
      <i/>
      <sz val="14"/>
      <color rgb="FFFF0000"/>
      <name val="맑은 고딕"/>
      <family val="2"/>
      <scheme val="minor"/>
    </font>
    <font>
      <b/>
      <sz val="11"/>
      <name val="Calibri"/>
      <family val="2"/>
    </font>
    <font>
      <u/>
      <sz val="11"/>
      <color theme="10"/>
      <name val="맑은 고딕"/>
      <family val="2"/>
      <charset val="129"/>
      <scheme val="minor"/>
    </font>
    <font>
      <u/>
      <sz val="11"/>
      <color theme="0" tint="-0.14999847407452621"/>
      <name val="맑은 고딕"/>
      <family val="2"/>
      <charset val="129"/>
      <scheme val="minor"/>
    </font>
    <font>
      <b/>
      <sz val="1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2"/>
      <scheme val="minor"/>
    </font>
    <font>
      <sz val="10"/>
      <name val="Arial"/>
      <family val="2"/>
    </font>
    <font>
      <b/>
      <sz val="14"/>
      <color theme="1"/>
      <name val="맑은 고딕"/>
      <family val="2"/>
      <scheme val="minor"/>
    </font>
    <font>
      <b/>
      <sz val="14"/>
      <name val="Calibri"/>
      <family val="2"/>
    </font>
    <font>
      <b/>
      <sz val="14"/>
      <color theme="1"/>
      <name val="Arial"/>
      <family val="2"/>
    </font>
    <font>
      <vertAlign val="superscript"/>
      <sz val="11"/>
      <name val="맑은 고딕"/>
      <family val="2"/>
      <scheme val="minor"/>
    </font>
    <font>
      <b/>
      <sz val="14"/>
      <name val="맑은 고딕"/>
      <family val="2"/>
      <scheme val="minor"/>
    </font>
    <font>
      <sz val="11"/>
      <color theme="0" tint="-0.14999847407452621"/>
      <name val="맑은 고딕"/>
      <family val="2"/>
      <charset val="129"/>
      <scheme val="minor"/>
    </font>
    <font>
      <sz val="11"/>
      <color theme="0" tint="-0.249977111117893"/>
      <name val="Segoe UI"/>
      <family val="2"/>
    </font>
    <font>
      <b/>
      <sz val="11"/>
      <color rgb="FFFF0000"/>
      <name val="맑은 고딕"/>
      <family val="2"/>
      <scheme val="minor"/>
    </font>
    <font>
      <b/>
      <sz val="11"/>
      <color rgb="FFC00000"/>
      <name val="맑은 고딕"/>
      <family val="2"/>
      <scheme val="minor"/>
    </font>
    <font>
      <b/>
      <sz val="16"/>
      <color rgb="FFFF0000"/>
      <name val="맑은 고딕"/>
      <family val="2"/>
      <scheme val="minor"/>
    </font>
    <font>
      <sz val="11"/>
      <name val="맑은 고딕"/>
      <family val="2"/>
      <charset val="129"/>
      <scheme val="minor"/>
    </font>
    <font>
      <sz val="11"/>
      <color rgb="FF202122"/>
      <name val="Arial"/>
      <family val="2"/>
    </font>
    <font>
      <sz val="11"/>
      <color rgb="FFC00000"/>
      <name val="맑은 고딕"/>
      <family val="2"/>
      <scheme val="minor"/>
    </font>
    <font>
      <sz val="11"/>
      <color rgb="FF747474"/>
      <name val="Verdana"/>
      <family val="2"/>
    </font>
    <font>
      <b/>
      <sz val="14"/>
      <color rgb="FFC00000"/>
      <name val="맑은 고딕"/>
      <family val="2"/>
      <scheme val="minor"/>
    </font>
    <font>
      <sz val="14"/>
      <color theme="1"/>
      <name val="맑은 고딕"/>
      <family val="2"/>
      <scheme val="minor"/>
    </font>
    <font>
      <i/>
      <sz val="11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sz val="11"/>
      <color theme="0" tint="-0.1499984740745262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theme="8"/>
      <name val="맑은 고딕"/>
      <family val="2"/>
      <scheme val="minor"/>
    </font>
    <font>
      <b/>
      <sz val="14"/>
      <color theme="8"/>
      <name val="맑은 고딕"/>
      <family val="2"/>
      <scheme val="minor"/>
    </font>
    <font>
      <b/>
      <sz val="11"/>
      <color theme="8"/>
      <name val="맑은 고딕"/>
      <family val="2"/>
      <scheme val="minor"/>
    </font>
    <font>
      <i/>
      <sz val="11"/>
      <color theme="8"/>
      <name val="맑은 고딕"/>
      <family val="2"/>
      <scheme val="minor"/>
    </font>
    <font>
      <b/>
      <i/>
      <sz val="11"/>
      <color theme="8"/>
      <name val="맑은 고딕"/>
      <family val="2"/>
      <scheme val="minor"/>
    </font>
    <font>
      <sz val="11"/>
      <color theme="0" tint="-0.34998626667073579"/>
      <name val="맑은 고딕"/>
      <family val="2"/>
      <scheme val="minor"/>
    </font>
    <font>
      <sz val="14"/>
      <color theme="8"/>
      <name val="맑은 고딕"/>
      <family val="2"/>
      <scheme val="minor"/>
    </font>
    <font>
      <b/>
      <sz val="11"/>
      <color theme="5" tint="-0.249977111117893"/>
      <name val="맑은 고딕"/>
      <family val="2"/>
      <scheme val="minor"/>
    </font>
    <font>
      <sz val="11"/>
      <color theme="5" tint="-0.249977111117893"/>
      <name val="맑은 고딕"/>
      <family val="2"/>
      <scheme val="minor"/>
    </font>
    <font>
      <i/>
      <sz val="11"/>
      <color theme="5" tint="-0.249977111117893"/>
      <name val="맑은 고딕"/>
      <family val="2"/>
      <scheme val="minor"/>
    </font>
    <font>
      <sz val="14"/>
      <color theme="5" tint="-0.249977111117893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i/>
      <sz val="11"/>
      <name val="맑은 고딕"/>
      <family val="3"/>
      <charset val="129"/>
      <scheme val="minor"/>
    </font>
    <font>
      <b/>
      <sz val="11"/>
      <color theme="5"/>
      <name val="맑은 고딕"/>
      <family val="2"/>
      <scheme val="minor"/>
    </font>
    <font>
      <i/>
      <sz val="11"/>
      <color theme="5"/>
      <name val="맑은 고딕"/>
      <family val="2"/>
      <scheme val="minor"/>
    </font>
    <font>
      <sz val="11"/>
      <color theme="5"/>
      <name val="맑은 고딕"/>
      <family val="2"/>
      <scheme val="minor"/>
    </font>
    <font>
      <sz val="11"/>
      <color rgb="FF9C5700"/>
      <name val="맑은 고딕"/>
      <family val="2"/>
      <charset val="129"/>
      <scheme val="minor"/>
    </font>
    <font>
      <sz val="9"/>
      <color rgb="FF000000"/>
      <name val="Times New Roman"/>
      <family val="1"/>
    </font>
    <font>
      <sz val="15"/>
      <color rgb="FF444444"/>
      <name val="Segoe UI"/>
      <family val="2"/>
    </font>
  </fonts>
  <fills count="2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3">
    <xf numFmtId="0" fontId="0" fillId="0" borderId="0">
      <alignment vertical="center"/>
    </xf>
    <xf numFmtId="9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7" fillId="0" borderId="0"/>
    <xf numFmtId="0" fontId="6" fillId="0" borderId="0"/>
    <xf numFmtId="176" fontId="6" fillId="0" borderId="0" applyFont="0" applyFill="0" applyBorder="0" applyAlignment="0" applyProtection="0"/>
    <xf numFmtId="0" fontId="4" fillId="0" borderId="0"/>
    <xf numFmtId="176" fontId="4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17" fillId="19" borderId="18" applyNumberFormat="0" applyFon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</cellStyleXfs>
  <cellXfs count="980">
    <xf numFmtId="0" fontId="0" fillId="0" borderId="0" xfId="0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9" fillId="0" borderId="4" xfId="0" applyFont="1" applyBorder="1" applyAlignment="1">
      <alignment horizontal="right" vertical="center"/>
    </xf>
    <xf numFmtId="178" fontId="9" fillId="0" borderId="0" xfId="0" applyNumberFormat="1" applyFont="1" applyAlignment="1">
      <alignment horizontal="right" vertical="center"/>
    </xf>
    <xf numFmtId="0" fontId="10" fillId="0" borderId="0" xfId="0" applyFont="1">
      <alignment vertical="center"/>
    </xf>
    <xf numFmtId="178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178" fontId="10" fillId="0" borderId="0" xfId="0" applyNumberFormat="1" applyFont="1">
      <alignment vertical="center"/>
    </xf>
    <xf numFmtId="2" fontId="10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178" fontId="12" fillId="0" borderId="0" xfId="0" applyNumberFormat="1" applyFont="1" applyAlignment="1">
      <alignment horizontal="right" vertical="center"/>
    </xf>
    <xf numFmtId="1" fontId="12" fillId="0" borderId="0" xfId="0" applyNumberFormat="1" applyFont="1" applyAlignment="1">
      <alignment horizontal="right" vertical="center"/>
    </xf>
    <xf numFmtId="178" fontId="12" fillId="0" borderId="0" xfId="0" applyNumberFormat="1" applyFont="1">
      <alignment vertical="center"/>
    </xf>
    <xf numFmtId="2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79" fontId="9" fillId="0" borderId="0" xfId="0" applyNumberFormat="1" applyFont="1">
      <alignment vertical="center"/>
    </xf>
    <xf numFmtId="0" fontId="9" fillId="0" borderId="1" xfId="0" applyFont="1" applyBorder="1">
      <alignment vertical="center"/>
    </xf>
    <xf numFmtId="0" fontId="9" fillId="0" borderId="2" xfId="0" applyFont="1" applyBorder="1">
      <alignment vertical="center"/>
    </xf>
    <xf numFmtId="0" fontId="12" fillId="0" borderId="5" xfId="0" applyFont="1" applyBorder="1">
      <alignment vertical="center"/>
    </xf>
    <xf numFmtId="0" fontId="9" fillId="0" borderId="6" xfId="0" applyFont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9" fillId="0" borderId="7" xfId="0" applyFont="1" applyBorder="1">
      <alignment vertical="center"/>
    </xf>
    <xf numFmtId="0" fontId="9" fillId="0" borderId="8" xfId="0" applyFont="1" applyBorder="1">
      <alignment vertical="center"/>
    </xf>
    <xf numFmtId="0" fontId="9" fillId="0" borderId="9" xfId="0" applyFont="1" applyBorder="1">
      <alignment vertical="center"/>
    </xf>
    <xf numFmtId="2" fontId="9" fillId="0" borderId="0" xfId="0" applyNumberFormat="1" applyFont="1">
      <alignment vertical="center"/>
    </xf>
    <xf numFmtId="0" fontId="14" fillId="0" borderId="0" xfId="0" applyFont="1">
      <alignment vertical="center"/>
    </xf>
    <xf numFmtId="2" fontId="14" fillId="0" borderId="0" xfId="0" applyNumberFormat="1" applyFont="1" applyAlignment="1">
      <alignment horizontal="right" vertical="center"/>
    </xf>
    <xf numFmtId="178" fontId="14" fillId="0" borderId="0" xfId="0" applyNumberFormat="1" applyFont="1">
      <alignment vertical="center"/>
    </xf>
    <xf numFmtId="181" fontId="14" fillId="0" borderId="0" xfId="0" applyNumberFormat="1" applyFont="1">
      <alignment vertical="center"/>
    </xf>
    <xf numFmtId="180" fontId="14" fillId="0" borderId="0" xfId="0" applyNumberFormat="1" applyFont="1">
      <alignment vertical="center"/>
    </xf>
    <xf numFmtId="178" fontId="14" fillId="0" borderId="0" xfId="0" applyNumberFormat="1" applyFont="1" applyAlignment="1">
      <alignment horizontal="right" vertical="center"/>
    </xf>
    <xf numFmtId="0" fontId="14" fillId="0" borderId="6" xfId="0" applyFont="1" applyBorder="1">
      <alignment vertical="center"/>
    </xf>
    <xf numFmtId="0" fontId="14" fillId="0" borderId="4" xfId="0" applyFont="1" applyBorder="1">
      <alignment vertical="center"/>
    </xf>
    <xf numFmtId="0" fontId="14" fillId="0" borderId="2" xfId="0" applyFont="1" applyBorder="1">
      <alignment vertical="center"/>
    </xf>
    <xf numFmtId="0" fontId="12" fillId="0" borderId="0" xfId="0" quotePrefix="1" applyFont="1">
      <alignment vertical="center"/>
    </xf>
    <xf numFmtId="0" fontId="12" fillId="0" borderId="0" xfId="0" quotePrefix="1" applyFont="1" applyAlignment="1">
      <alignment horizontal="right" vertical="center"/>
    </xf>
    <xf numFmtId="0" fontId="16" fillId="0" borderId="0" xfId="0" applyFont="1">
      <alignment vertical="center"/>
    </xf>
    <xf numFmtId="0" fontId="18" fillId="0" borderId="0" xfId="0" applyFont="1">
      <alignment vertical="center"/>
    </xf>
    <xf numFmtId="11" fontId="0" fillId="0" borderId="0" xfId="0" applyNumberFormat="1">
      <alignment vertical="center"/>
    </xf>
    <xf numFmtId="0" fontId="20" fillId="0" borderId="0" xfId="0" applyFont="1">
      <alignment vertical="center"/>
    </xf>
    <xf numFmtId="11" fontId="18" fillId="0" borderId="0" xfId="0" applyNumberFormat="1" applyFont="1">
      <alignment vertical="center"/>
    </xf>
    <xf numFmtId="15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4" fontId="0" fillId="2" borderId="0" xfId="0" applyNumberFormat="1" applyFill="1">
      <alignment vertical="center"/>
    </xf>
    <xf numFmtId="0" fontId="19" fillId="2" borderId="0" xfId="0" applyFont="1" applyFill="1">
      <alignment vertical="center"/>
    </xf>
    <xf numFmtId="178" fontId="19" fillId="2" borderId="0" xfId="0" applyNumberFormat="1" applyFont="1" applyFill="1">
      <alignment vertical="center"/>
    </xf>
    <xf numFmtId="178" fontId="0" fillId="2" borderId="0" xfId="0" applyNumberFormat="1" applyFill="1">
      <alignment vertical="center"/>
    </xf>
    <xf numFmtId="182" fontId="19" fillId="2" borderId="0" xfId="0" applyNumberFormat="1" applyFont="1" applyFill="1">
      <alignment vertical="center"/>
    </xf>
    <xf numFmtId="182" fontId="0" fillId="2" borderId="0" xfId="0" applyNumberFormat="1" applyFill="1">
      <alignment vertical="center"/>
    </xf>
    <xf numFmtId="10" fontId="0" fillId="2" borderId="0" xfId="1" applyNumberFormat="1" applyFont="1" applyFill="1" applyBorder="1" applyAlignment="1">
      <alignment vertical="center"/>
    </xf>
    <xf numFmtId="0" fontId="18" fillId="0" borderId="1" xfId="0" applyFont="1" applyBorder="1">
      <alignment vertical="center"/>
    </xf>
    <xf numFmtId="0" fontId="18" fillId="0" borderId="10" xfId="0" applyFont="1" applyBorder="1">
      <alignment vertical="center"/>
    </xf>
    <xf numFmtId="0" fontId="18" fillId="0" borderId="2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1" xfId="0" applyFill="1" applyBorder="1">
      <alignment vertical="center"/>
    </xf>
    <xf numFmtId="0" fontId="0" fillId="2" borderId="10" xfId="0" applyFill="1" applyBorder="1">
      <alignment vertical="center"/>
    </xf>
    <xf numFmtId="0" fontId="19" fillId="2" borderId="5" xfId="0" applyFont="1" applyFill="1" applyBorder="1">
      <alignment vertical="center"/>
    </xf>
    <xf numFmtId="178" fontId="19" fillId="2" borderId="6" xfId="0" applyNumberFormat="1" applyFont="1" applyFill="1" applyBorder="1">
      <alignment vertical="center"/>
    </xf>
    <xf numFmtId="0" fontId="0" fillId="2" borderId="5" xfId="0" applyFill="1" applyBorder="1">
      <alignment vertical="center"/>
    </xf>
    <xf numFmtId="178" fontId="0" fillId="2" borderId="6" xfId="0" applyNumberFormat="1" applyFill="1" applyBorder="1">
      <alignment vertical="center"/>
    </xf>
    <xf numFmtId="10" fontId="0" fillId="2" borderId="6" xfId="1" applyNumberFormat="1" applyFont="1" applyFill="1" applyBorder="1" applyAlignment="1">
      <alignment vertical="center"/>
    </xf>
    <xf numFmtId="0" fontId="0" fillId="2" borderId="3" xfId="0" applyFill="1" applyBorder="1">
      <alignment vertical="center"/>
    </xf>
    <xf numFmtId="0" fontId="0" fillId="2" borderId="11" xfId="0" applyFill="1" applyBorder="1">
      <alignment vertical="center"/>
    </xf>
    <xf numFmtId="178" fontId="0" fillId="2" borderId="11" xfId="0" applyNumberFormat="1" applyFill="1" applyBorder="1">
      <alignment vertical="center"/>
    </xf>
    <xf numFmtId="178" fontId="0" fillId="2" borderId="4" xfId="0" applyNumberFormat="1" applyFill="1" applyBorder="1">
      <alignment vertical="center"/>
    </xf>
    <xf numFmtId="0" fontId="0" fillId="0" borderId="3" xfId="0" applyBorder="1">
      <alignment vertical="center"/>
    </xf>
    <xf numFmtId="0" fontId="0" fillId="0" borderId="11" xfId="0" applyBorder="1">
      <alignment vertical="center"/>
    </xf>
    <xf numFmtId="0" fontId="0" fillId="0" borderId="4" xfId="0" applyBorder="1">
      <alignment vertical="center"/>
    </xf>
    <xf numFmtId="0" fontId="0" fillId="5" borderId="0" xfId="0" applyFill="1">
      <alignment vertical="center"/>
    </xf>
    <xf numFmtId="0" fontId="0" fillId="5" borderId="1" xfId="0" applyFill="1" applyBorder="1">
      <alignment vertical="center"/>
    </xf>
    <xf numFmtId="0" fontId="0" fillId="5" borderId="10" xfId="0" applyFill="1" applyBorder="1">
      <alignment vertical="center"/>
    </xf>
    <xf numFmtId="0" fontId="19" fillId="5" borderId="10" xfId="0" applyFont="1" applyFill="1" applyBorder="1" applyAlignment="1">
      <alignment horizontal="right" vertical="center"/>
    </xf>
    <xf numFmtId="0" fontId="19" fillId="5" borderId="2" xfId="0" applyFont="1" applyFill="1" applyBorder="1">
      <alignment vertical="center"/>
    </xf>
    <xf numFmtId="185" fontId="0" fillId="0" borderId="0" xfId="2" applyNumberFormat="1" applyFont="1" applyAlignment="1">
      <alignment vertical="center"/>
    </xf>
    <xf numFmtId="0" fontId="18" fillId="4" borderId="5" xfId="0" applyFont="1" applyFill="1" applyBorder="1">
      <alignment vertical="center"/>
    </xf>
    <xf numFmtId="0" fontId="0" fillId="4" borderId="0" xfId="0" applyFill="1">
      <alignment vertical="center"/>
    </xf>
    <xf numFmtId="2" fontId="18" fillId="4" borderId="0" xfId="0" applyNumberFormat="1" applyFont="1" applyFill="1" applyAlignment="1"/>
    <xf numFmtId="2" fontId="18" fillId="4" borderId="6" xfId="0" applyNumberFormat="1" applyFont="1" applyFill="1" applyBorder="1" applyAlignment="1"/>
    <xf numFmtId="0" fontId="18" fillId="4" borderId="0" xfId="0" applyFont="1" applyFill="1">
      <alignment vertical="center"/>
    </xf>
    <xf numFmtId="178" fontId="18" fillId="4" borderId="0" xfId="0" applyNumberFormat="1" applyFont="1" applyFill="1">
      <alignment vertical="center"/>
    </xf>
    <xf numFmtId="184" fontId="18" fillId="4" borderId="6" xfId="2" applyNumberFormat="1" applyFont="1" applyFill="1" applyBorder="1" applyAlignment="1">
      <alignment vertical="center"/>
    </xf>
    <xf numFmtId="178" fontId="18" fillId="4" borderId="6" xfId="0" applyNumberFormat="1" applyFont="1" applyFill="1" applyBorder="1">
      <alignment vertical="center"/>
    </xf>
    <xf numFmtId="0" fontId="12" fillId="4" borderId="0" xfId="0" applyFont="1" applyFill="1">
      <alignment vertical="center"/>
    </xf>
    <xf numFmtId="178" fontId="0" fillId="4" borderId="0" xfId="0" applyNumberFormat="1" applyFill="1">
      <alignment vertical="center"/>
    </xf>
    <xf numFmtId="178" fontId="0" fillId="4" borderId="6" xfId="0" applyNumberFormat="1" applyFill="1" applyBorder="1">
      <alignment vertical="center"/>
    </xf>
    <xf numFmtId="0" fontId="21" fillId="4" borderId="0" xfId="0" applyFont="1" applyFill="1">
      <alignment vertical="center"/>
    </xf>
    <xf numFmtId="0" fontId="0" fillId="4" borderId="5" xfId="0" applyFill="1" applyBorder="1">
      <alignment vertical="center"/>
    </xf>
    <xf numFmtId="0" fontId="0" fillId="4" borderId="3" xfId="0" applyFill="1" applyBorder="1">
      <alignment vertical="center"/>
    </xf>
    <xf numFmtId="0" fontId="12" fillId="4" borderId="11" xfId="0" applyFont="1" applyFill="1" applyBorder="1">
      <alignment vertical="center"/>
    </xf>
    <xf numFmtId="0" fontId="0" fillId="4" borderId="11" xfId="0" applyFill="1" applyBorder="1">
      <alignment vertical="center"/>
    </xf>
    <xf numFmtId="178" fontId="0" fillId="4" borderId="11" xfId="0" applyNumberFormat="1" applyFill="1" applyBorder="1">
      <alignment vertical="center"/>
    </xf>
    <xf numFmtId="178" fontId="0" fillId="4" borderId="4" xfId="0" applyNumberFormat="1" applyFill="1" applyBorder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19" fillId="5" borderId="13" xfId="0" applyFont="1" applyFill="1" applyBorder="1" applyAlignment="1">
      <alignment horizontal="right" vertical="center"/>
    </xf>
    <xf numFmtId="0" fontId="19" fillId="5" borderId="14" xfId="0" applyFont="1" applyFill="1" applyBorder="1">
      <alignment vertical="center"/>
    </xf>
    <xf numFmtId="185" fontId="0" fillId="2" borderId="2" xfId="2" applyNumberFormat="1" applyFont="1" applyFill="1" applyBorder="1" applyAlignment="1">
      <alignment vertical="center"/>
    </xf>
    <xf numFmtId="0" fontId="18" fillId="4" borderId="0" xfId="0" applyFont="1" applyFill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left" vertical="center" indent="1"/>
    </xf>
    <xf numFmtId="0" fontId="0" fillId="2" borderId="5" xfId="0" applyFill="1" applyBorder="1" applyAlignment="1">
      <alignment horizontal="left" vertical="center"/>
    </xf>
    <xf numFmtId="0" fontId="0" fillId="7" borderId="1" xfId="0" applyFill="1" applyBorder="1">
      <alignment vertical="center"/>
    </xf>
    <xf numFmtId="0" fontId="0" fillId="7" borderId="10" xfId="0" applyFill="1" applyBorder="1">
      <alignment vertical="center"/>
    </xf>
    <xf numFmtId="183" fontId="0" fillId="7" borderId="2" xfId="1" applyNumberFormat="1" applyFont="1" applyFill="1" applyBorder="1" applyAlignment="1">
      <alignment vertical="center"/>
    </xf>
    <xf numFmtId="0" fontId="0" fillId="7" borderId="5" xfId="0" applyFill="1" applyBorder="1">
      <alignment vertical="center"/>
    </xf>
    <xf numFmtId="0" fontId="0" fillId="7" borderId="0" xfId="0" applyFill="1">
      <alignment vertical="center"/>
    </xf>
    <xf numFmtId="183" fontId="0" fillId="7" borderId="6" xfId="1" applyNumberFormat="1" applyFont="1" applyFill="1" applyBorder="1" applyAlignment="1">
      <alignment vertical="center"/>
    </xf>
    <xf numFmtId="0" fontId="0" fillId="7" borderId="3" xfId="0" applyFill="1" applyBorder="1">
      <alignment vertical="center"/>
    </xf>
    <xf numFmtId="0" fontId="0" fillId="7" borderId="11" xfId="0" applyFill="1" applyBorder="1">
      <alignment vertical="center"/>
    </xf>
    <xf numFmtId="183" fontId="0" fillId="7" borderId="4" xfId="1" applyNumberFormat="1" applyFont="1" applyFill="1" applyBorder="1" applyAlignment="1">
      <alignment vertical="center"/>
    </xf>
    <xf numFmtId="0" fontId="0" fillId="9" borderId="1" xfId="0" applyFill="1" applyBorder="1">
      <alignment vertical="center"/>
    </xf>
    <xf numFmtId="0" fontId="0" fillId="9" borderId="10" xfId="0" applyFill="1" applyBorder="1">
      <alignment vertical="center"/>
    </xf>
    <xf numFmtId="183" fontId="0" fillId="9" borderId="2" xfId="1" applyNumberFormat="1" applyFont="1" applyFill="1" applyBorder="1" applyAlignment="1">
      <alignment vertical="center"/>
    </xf>
    <xf numFmtId="0" fontId="0" fillId="9" borderId="11" xfId="0" applyFill="1" applyBorder="1">
      <alignment vertical="center"/>
    </xf>
    <xf numFmtId="0" fontId="0" fillId="9" borderId="0" xfId="0" applyFill="1">
      <alignment vertical="center"/>
    </xf>
    <xf numFmtId="0" fontId="0" fillId="9" borderId="5" xfId="0" applyFill="1" applyBorder="1">
      <alignment vertical="center"/>
    </xf>
    <xf numFmtId="183" fontId="0" fillId="9" borderId="6" xfId="1" applyNumberFormat="1" applyFont="1" applyFill="1" applyBorder="1" applyAlignment="1">
      <alignment vertical="center"/>
    </xf>
    <xf numFmtId="0" fontId="0" fillId="9" borderId="6" xfId="0" applyFill="1" applyBorder="1">
      <alignment vertical="center"/>
    </xf>
    <xf numFmtId="0" fontId="12" fillId="9" borderId="5" xfId="0" applyFont="1" applyFill="1" applyBorder="1">
      <alignment vertical="center"/>
    </xf>
    <xf numFmtId="0" fontId="0" fillId="9" borderId="4" xfId="0" applyFill="1" applyBorder="1">
      <alignment vertical="center"/>
    </xf>
    <xf numFmtId="0" fontId="0" fillId="4" borderId="1" xfId="0" applyFill="1" applyBorder="1">
      <alignment vertical="center"/>
    </xf>
    <xf numFmtId="0" fontId="12" fillId="4" borderId="2" xfId="0" applyFont="1" applyFill="1" applyBorder="1">
      <alignment vertical="center"/>
    </xf>
    <xf numFmtId="0" fontId="12" fillId="4" borderId="5" xfId="0" applyFont="1" applyFill="1" applyBorder="1">
      <alignment vertical="center"/>
    </xf>
    <xf numFmtId="0" fontId="12" fillId="4" borderId="6" xfId="0" applyFont="1" applyFill="1" applyBorder="1">
      <alignment vertical="center"/>
    </xf>
    <xf numFmtId="0" fontId="12" fillId="4" borderId="6" xfId="0" quotePrefix="1" applyFont="1" applyFill="1" applyBorder="1" applyAlignment="1">
      <alignment horizontal="right" vertical="center"/>
    </xf>
    <xf numFmtId="0" fontId="12" fillId="4" borderId="3" xfId="0" applyFont="1" applyFill="1" applyBorder="1">
      <alignment vertical="center"/>
    </xf>
    <xf numFmtId="0" fontId="12" fillId="4" borderId="4" xfId="0" applyFont="1" applyFill="1" applyBorder="1">
      <alignment vertical="center"/>
    </xf>
    <xf numFmtId="0" fontId="0" fillId="4" borderId="10" xfId="0" applyFill="1" applyBorder="1">
      <alignment vertical="center"/>
    </xf>
    <xf numFmtId="185" fontId="0" fillId="2" borderId="6" xfId="2" applyNumberFormat="1" applyFont="1" applyFill="1" applyBorder="1" applyAlignment="1">
      <alignment vertical="center"/>
    </xf>
    <xf numFmtId="185" fontId="0" fillId="2" borderId="4" xfId="2" applyNumberFormat="1" applyFont="1" applyFill="1" applyBorder="1" applyAlignment="1">
      <alignment vertical="center"/>
    </xf>
    <xf numFmtId="0" fontId="25" fillId="9" borderId="0" xfId="0" applyFont="1" applyFill="1">
      <alignment vertical="center"/>
    </xf>
    <xf numFmtId="0" fontId="25" fillId="9" borderId="5" xfId="0" applyFont="1" applyFill="1" applyBorder="1">
      <alignment vertical="center"/>
    </xf>
    <xf numFmtId="176" fontId="0" fillId="0" borderId="0" xfId="0" applyNumberFormat="1">
      <alignment vertical="center"/>
    </xf>
    <xf numFmtId="0" fontId="28" fillId="0" borderId="0" xfId="0" applyFont="1">
      <alignment vertical="center"/>
    </xf>
    <xf numFmtId="183" fontId="0" fillId="0" borderId="0" xfId="1" applyNumberFormat="1" applyFont="1" applyFill="1" applyBorder="1" applyAlignment="1">
      <alignment vertical="center"/>
    </xf>
    <xf numFmtId="0" fontId="29" fillId="0" borderId="0" xfId="0" applyFont="1">
      <alignment vertical="center"/>
    </xf>
    <xf numFmtId="0" fontId="25" fillId="2" borderId="5" xfId="0" applyFont="1" applyFill="1" applyBorder="1">
      <alignment vertical="center"/>
    </xf>
    <xf numFmtId="0" fontId="25" fillId="2" borderId="3" xfId="0" applyFont="1" applyFill="1" applyBorder="1">
      <alignment vertical="center"/>
    </xf>
    <xf numFmtId="185" fontId="25" fillId="9" borderId="6" xfId="2" applyNumberFormat="1" applyFont="1" applyFill="1" applyBorder="1" applyAlignment="1">
      <alignment vertical="center"/>
    </xf>
    <xf numFmtId="185" fontId="18" fillId="5" borderId="14" xfId="2" applyNumberFormat="1" applyFont="1" applyFill="1" applyBorder="1" applyAlignment="1">
      <alignment vertical="center"/>
    </xf>
    <xf numFmtId="0" fontId="18" fillId="5" borderId="2" xfId="0" applyFont="1" applyFill="1" applyBorder="1">
      <alignment vertical="center"/>
    </xf>
    <xf numFmtId="11" fontId="25" fillId="2" borderId="0" xfId="0" applyNumberFormat="1" applyFont="1" applyFill="1" applyAlignment="1">
      <alignment horizontal="right" vertical="center"/>
    </xf>
    <xf numFmtId="11" fontId="25" fillId="2" borderId="11" xfId="0" applyNumberFormat="1" applyFont="1" applyFill="1" applyBorder="1" applyAlignment="1">
      <alignment horizontal="right" vertical="center"/>
    </xf>
    <xf numFmtId="185" fontId="25" fillId="2" borderId="0" xfId="2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185" fontId="0" fillId="2" borderId="0" xfId="2" applyNumberFormat="1" applyFont="1" applyFill="1" applyBorder="1" applyAlignment="1">
      <alignment horizontal="right" vertical="center"/>
    </xf>
    <xf numFmtId="0" fontId="18" fillId="5" borderId="1" xfId="0" applyFont="1" applyFill="1" applyBorder="1" applyAlignment="1">
      <alignment horizontal="center" vertical="center"/>
    </xf>
    <xf numFmtId="185" fontId="25" fillId="2" borderId="11" xfId="2" applyNumberFormat="1" applyFont="1" applyFill="1" applyBorder="1" applyAlignment="1">
      <alignment horizontal="right" vertical="center"/>
    </xf>
    <xf numFmtId="0" fontId="0" fillId="2" borderId="11" xfId="0" applyFill="1" applyBorder="1" applyAlignment="1">
      <alignment horizontal="right" vertical="center"/>
    </xf>
    <xf numFmtId="185" fontId="0" fillId="2" borderId="11" xfId="2" applyNumberFormat="1" applyFont="1" applyFill="1" applyBorder="1" applyAlignment="1">
      <alignment horizontal="right" vertical="center"/>
    </xf>
    <xf numFmtId="0" fontId="0" fillId="5" borderId="15" xfId="0" applyFill="1" applyBorder="1">
      <alignment vertical="center"/>
    </xf>
    <xf numFmtId="0" fontId="18" fillId="5" borderId="16" xfId="0" applyFont="1" applyFill="1" applyBorder="1" applyAlignment="1">
      <alignment horizontal="center" vertical="center"/>
    </xf>
    <xf numFmtId="0" fontId="18" fillId="5" borderId="17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9" fillId="2" borderId="1" xfId="0" applyFont="1" applyFill="1" applyBorder="1">
      <alignment vertical="center"/>
    </xf>
    <xf numFmtId="0" fontId="19" fillId="2" borderId="10" xfId="0" applyFont="1" applyFill="1" applyBorder="1">
      <alignment vertical="center"/>
    </xf>
    <xf numFmtId="178" fontId="19" fillId="2" borderId="10" xfId="0" applyNumberFormat="1" applyFont="1" applyFill="1" applyBorder="1">
      <alignment vertical="center"/>
    </xf>
    <xf numFmtId="11" fontId="0" fillId="2" borderId="11" xfId="0" applyNumberFormat="1" applyFill="1" applyBorder="1">
      <alignment vertical="center"/>
    </xf>
    <xf numFmtId="11" fontId="0" fillId="2" borderId="4" xfId="0" applyNumberFormat="1" applyFill="1" applyBorder="1">
      <alignment vertical="center"/>
    </xf>
    <xf numFmtId="176" fontId="0" fillId="0" borderId="0" xfId="2" applyFont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0" xfId="0" applyBorder="1">
      <alignment vertical="center"/>
    </xf>
    <xf numFmtId="185" fontId="0" fillId="0" borderId="2" xfId="2" applyNumberFormat="1" applyFont="1" applyBorder="1" applyAlignment="1">
      <alignment vertical="center"/>
    </xf>
    <xf numFmtId="3" fontId="26" fillId="0" borderId="5" xfId="0" applyNumberFormat="1" applyFont="1" applyBorder="1" applyAlignment="1"/>
    <xf numFmtId="176" fontId="26" fillId="0" borderId="6" xfId="2" applyFont="1" applyFill="1" applyBorder="1" applyAlignment="1" applyProtection="1">
      <protection locked="0"/>
    </xf>
    <xf numFmtId="185" fontId="26" fillId="0" borderId="6" xfId="2" applyNumberFormat="1" applyFont="1" applyFill="1" applyBorder="1" applyAlignment="1" applyProtection="1">
      <protection locked="0"/>
    </xf>
    <xf numFmtId="176" fontId="26" fillId="0" borderId="6" xfId="2" applyFont="1" applyFill="1" applyBorder="1" applyAlignment="1"/>
    <xf numFmtId="3" fontId="26" fillId="0" borderId="3" xfId="0" applyNumberFormat="1" applyFont="1" applyBorder="1" applyAlignment="1"/>
    <xf numFmtId="0" fontId="0" fillId="0" borderId="5" xfId="0" applyBorder="1" applyAlignment="1">
      <alignment horizontal="left" vertical="center" indent="1"/>
    </xf>
    <xf numFmtId="0" fontId="18" fillId="0" borderId="11" xfId="0" applyFont="1" applyBorder="1">
      <alignment vertical="center"/>
    </xf>
    <xf numFmtId="11" fontId="18" fillId="0" borderId="11" xfId="0" applyNumberFormat="1" applyFont="1" applyBorder="1">
      <alignment vertical="center"/>
    </xf>
    <xf numFmtId="2" fontId="0" fillId="0" borderId="0" xfId="0" applyNumberFormat="1">
      <alignment vertical="center"/>
    </xf>
    <xf numFmtId="185" fontId="0" fillId="0" borderId="6" xfId="2" applyNumberFormat="1" applyFont="1" applyBorder="1" applyAlignment="1">
      <alignment vertical="center"/>
    </xf>
    <xf numFmtId="0" fontId="18" fillId="0" borderId="5" xfId="0" applyFont="1" applyBorder="1">
      <alignment vertical="center"/>
    </xf>
    <xf numFmtId="0" fontId="33" fillId="0" borderId="0" xfId="0" applyFont="1">
      <alignment vertical="center"/>
    </xf>
    <xf numFmtId="0" fontId="25" fillId="0" borderId="1" xfId="0" applyFont="1" applyBorder="1">
      <alignment vertical="center"/>
    </xf>
    <xf numFmtId="0" fontId="25" fillId="0" borderId="10" xfId="0" applyFont="1" applyBorder="1">
      <alignment vertical="center"/>
    </xf>
    <xf numFmtId="185" fontId="25" fillId="0" borderId="2" xfId="2" applyNumberFormat="1" applyFont="1" applyBorder="1" applyAlignment="1">
      <alignment vertical="center"/>
    </xf>
    <xf numFmtId="178" fontId="0" fillId="0" borderId="0" xfId="0" applyNumberFormat="1">
      <alignment vertical="center"/>
    </xf>
    <xf numFmtId="0" fontId="18" fillId="0" borderId="3" xfId="0" applyFont="1" applyBorder="1">
      <alignment vertical="center"/>
    </xf>
    <xf numFmtId="185" fontId="18" fillId="0" borderId="4" xfId="2" applyNumberFormat="1" applyFont="1" applyBorder="1" applyAlignment="1">
      <alignment vertical="center"/>
    </xf>
    <xf numFmtId="178" fontId="19" fillId="2" borderId="2" xfId="0" applyNumberFormat="1" applyFont="1" applyFill="1" applyBorder="1">
      <alignment vertical="center"/>
    </xf>
    <xf numFmtId="0" fontId="0" fillId="9" borderId="3" xfId="0" applyFill="1" applyBorder="1">
      <alignment vertical="center"/>
    </xf>
    <xf numFmtId="185" fontId="0" fillId="9" borderId="11" xfId="2" applyNumberFormat="1" applyFont="1" applyFill="1" applyBorder="1" applyAlignment="1">
      <alignment vertical="center"/>
    </xf>
    <xf numFmtId="185" fontId="0" fillId="9" borderId="4" xfId="2" applyNumberFormat="1" applyFont="1" applyFill="1" applyBorder="1" applyAlignment="1">
      <alignment vertical="center"/>
    </xf>
    <xf numFmtId="0" fontId="34" fillId="0" borderId="0" xfId="0" applyFont="1">
      <alignment vertical="center"/>
    </xf>
    <xf numFmtId="185" fontId="0" fillId="0" borderId="0" xfId="2" applyNumberFormat="1" applyFont="1" applyFill="1" applyAlignment="1">
      <alignment vertical="center"/>
    </xf>
    <xf numFmtId="185" fontId="26" fillId="0" borderId="6" xfId="2" applyNumberFormat="1" applyFont="1" applyFill="1" applyBorder="1" applyAlignment="1"/>
    <xf numFmtId="9" fontId="0" fillId="0" borderId="4" xfId="1" applyFont="1" applyBorder="1" applyAlignment="1">
      <alignment vertical="center"/>
    </xf>
    <xf numFmtId="0" fontId="18" fillId="0" borderId="3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left" vertical="center" indent="1"/>
    </xf>
    <xf numFmtId="0" fontId="0" fillId="9" borderId="5" xfId="0" applyFill="1" applyBorder="1" applyAlignment="1">
      <alignment horizontal="left" vertical="center"/>
    </xf>
    <xf numFmtId="0" fontId="0" fillId="4" borderId="2" xfId="0" applyFill="1" applyBorder="1" applyAlignment="1">
      <alignment horizontal="right" vertical="center"/>
    </xf>
    <xf numFmtId="0" fontId="0" fillId="4" borderId="5" xfId="0" applyFill="1" applyBorder="1" applyAlignment="1">
      <alignment horizontal="left" vertical="center"/>
    </xf>
    <xf numFmtId="0" fontId="0" fillId="4" borderId="6" xfId="0" applyFill="1" applyBorder="1" applyAlignment="1">
      <alignment horizontal="right" vertical="center"/>
    </xf>
    <xf numFmtId="0" fontId="0" fillId="4" borderId="4" xfId="2" applyNumberFormat="1" applyFont="1" applyFill="1" applyBorder="1" applyAlignment="1">
      <alignment horizontal="right" vertical="center"/>
    </xf>
    <xf numFmtId="49" fontId="24" fillId="4" borderId="5" xfId="0" applyNumberFormat="1" applyFont="1" applyFill="1" applyBorder="1" applyAlignment="1"/>
    <xf numFmtId="176" fontId="18" fillId="4" borderId="6" xfId="2" applyFont="1" applyFill="1" applyBorder="1"/>
    <xf numFmtId="49" fontId="26" fillId="4" borderId="5" xfId="0" applyNumberFormat="1" applyFont="1" applyFill="1" applyBorder="1" applyAlignment="1">
      <alignment horizontal="left"/>
    </xf>
    <xf numFmtId="0" fontId="25" fillId="4" borderId="0" xfId="0" applyFont="1" applyFill="1">
      <alignment vertical="center"/>
    </xf>
    <xf numFmtId="176" fontId="25" fillId="4" borderId="6" xfId="2" applyFont="1" applyFill="1" applyBorder="1"/>
    <xf numFmtId="49" fontId="26" fillId="4" borderId="5" xfId="0" applyNumberFormat="1" applyFont="1" applyFill="1" applyBorder="1" applyAlignment="1">
      <alignment horizontal="left" indent="1"/>
    </xf>
    <xf numFmtId="49" fontId="26" fillId="4" borderId="3" xfId="0" applyNumberFormat="1" applyFont="1" applyFill="1" applyBorder="1" applyAlignment="1">
      <alignment horizontal="left" indent="1"/>
    </xf>
    <xf numFmtId="176" fontId="25" fillId="4" borderId="4" xfId="2" applyFont="1" applyFill="1" applyBorder="1"/>
    <xf numFmtId="185" fontId="0" fillId="0" borderId="0" xfId="0" applyNumberFormat="1">
      <alignment vertical="center"/>
    </xf>
    <xf numFmtId="0" fontId="25" fillId="0" borderId="0" xfId="0" applyFont="1" applyAlignment="1">
      <alignment horizontal="center" vertical="center"/>
    </xf>
    <xf numFmtId="186" fontId="0" fillId="0" borderId="0" xfId="2" applyNumberFormat="1" applyFont="1" applyFill="1" applyBorder="1" applyAlignment="1">
      <alignment horizontal="right" vertical="center"/>
    </xf>
    <xf numFmtId="185" fontId="0" fillId="0" borderId="0" xfId="0" applyNumberFormat="1" applyAlignment="1">
      <alignment horizontal="right" vertical="center"/>
    </xf>
    <xf numFmtId="49" fontId="24" fillId="9" borderId="1" xfId="0" applyNumberFormat="1" applyFont="1" applyFill="1" applyBorder="1" applyAlignment="1"/>
    <xf numFmtId="185" fontId="18" fillId="9" borderId="2" xfId="2" applyNumberFormat="1" applyFont="1" applyFill="1" applyBorder="1" applyAlignment="1">
      <alignment vertical="center"/>
    </xf>
    <xf numFmtId="49" fontId="26" fillId="9" borderId="5" xfId="0" applyNumberFormat="1" applyFont="1" applyFill="1" applyBorder="1" applyAlignment="1">
      <alignment horizontal="left"/>
    </xf>
    <xf numFmtId="185" fontId="0" fillId="9" borderId="6" xfId="2" applyNumberFormat="1" applyFont="1" applyFill="1" applyBorder="1" applyAlignment="1">
      <alignment vertical="center"/>
    </xf>
    <xf numFmtId="49" fontId="26" fillId="9" borderId="5" xfId="0" applyNumberFormat="1" applyFont="1" applyFill="1" applyBorder="1" applyAlignment="1">
      <alignment horizontal="left" indent="1"/>
    </xf>
    <xf numFmtId="49" fontId="24" fillId="9" borderId="5" xfId="0" applyNumberFormat="1" applyFont="1" applyFill="1" applyBorder="1" applyAlignment="1">
      <alignment horizontal="left"/>
    </xf>
    <xf numFmtId="185" fontId="18" fillId="9" borderId="6" xfId="2" applyNumberFormat="1" applyFont="1" applyFill="1" applyBorder="1" applyAlignment="1">
      <alignment vertical="center"/>
    </xf>
    <xf numFmtId="49" fontId="26" fillId="9" borderId="5" xfId="0" applyNumberFormat="1" applyFont="1" applyFill="1" applyBorder="1" applyAlignment="1"/>
    <xf numFmtId="0" fontId="0" fillId="9" borderId="5" xfId="0" applyFill="1" applyBorder="1" applyAlignment="1">
      <alignment horizontal="left" vertical="center" indent="1"/>
    </xf>
    <xf numFmtId="0" fontId="18" fillId="9" borderId="5" xfId="0" applyFont="1" applyFill="1" applyBorder="1">
      <alignment vertical="center"/>
    </xf>
    <xf numFmtId="0" fontId="18" fillId="9" borderId="0" xfId="0" applyFont="1" applyFill="1">
      <alignment vertical="center"/>
    </xf>
    <xf numFmtId="3" fontId="26" fillId="9" borderId="0" xfId="0" applyNumberFormat="1" applyFont="1" applyFill="1" applyAlignment="1"/>
    <xf numFmtId="0" fontId="25" fillId="9" borderId="3" xfId="0" applyFont="1" applyFill="1" applyBorder="1">
      <alignment vertical="center"/>
    </xf>
    <xf numFmtId="3" fontId="26" fillId="9" borderId="11" xfId="0" applyNumberFormat="1" applyFont="1" applyFill="1" applyBorder="1" applyAlignment="1"/>
    <xf numFmtId="3" fontId="24" fillId="9" borderId="1" xfId="0" applyNumberFormat="1" applyFont="1" applyFill="1" applyBorder="1" applyAlignment="1"/>
    <xf numFmtId="0" fontId="18" fillId="9" borderId="10" xfId="0" applyFont="1" applyFill="1" applyBorder="1">
      <alignment vertical="center"/>
    </xf>
    <xf numFmtId="0" fontId="0" fillId="9" borderId="2" xfId="0" applyFill="1" applyBorder="1">
      <alignment vertical="center"/>
    </xf>
    <xf numFmtId="3" fontId="26" fillId="9" borderId="5" xfId="0" applyNumberFormat="1" applyFont="1" applyFill="1" applyBorder="1" applyAlignment="1"/>
    <xf numFmtId="182" fontId="0" fillId="9" borderId="0" xfId="0" applyNumberFormat="1" applyFill="1">
      <alignment vertical="center"/>
    </xf>
    <xf numFmtId="11" fontId="0" fillId="9" borderId="0" xfId="0" applyNumberFormat="1" applyFill="1">
      <alignment vertical="center"/>
    </xf>
    <xf numFmtId="2" fontId="0" fillId="9" borderId="0" xfId="0" applyNumberFormat="1" applyFill="1">
      <alignment vertical="center"/>
    </xf>
    <xf numFmtId="3" fontId="26" fillId="9" borderId="3" xfId="0" applyNumberFormat="1" applyFont="1" applyFill="1" applyBorder="1" applyAlignment="1"/>
    <xf numFmtId="11" fontId="0" fillId="9" borderId="11" xfId="0" applyNumberFormat="1" applyFill="1" applyBorder="1">
      <alignment vertical="center"/>
    </xf>
    <xf numFmtId="2" fontId="0" fillId="9" borderId="11" xfId="0" applyNumberFormat="1" applyFill="1" applyBorder="1">
      <alignment vertical="center"/>
    </xf>
    <xf numFmtId="178" fontId="0" fillId="9" borderId="10" xfId="0" applyNumberFormat="1" applyFill="1" applyBorder="1">
      <alignment vertical="center"/>
    </xf>
    <xf numFmtId="178" fontId="0" fillId="9" borderId="0" xfId="0" applyNumberFormat="1" applyFill="1">
      <alignment vertical="center"/>
    </xf>
    <xf numFmtId="178" fontId="0" fillId="9" borderId="11" xfId="0" applyNumberFormat="1" applyFill="1" applyBorder="1">
      <alignment vertical="center"/>
    </xf>
    <xf numFmtId="0" fontId="18" fillId="0" borderId="2" xfId="0" applyFon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2" fontId="0" fillId="0" borderId="4" xfId="0" applyNumberFormat="1" applyBorder="1" applyAlignment="1">
      <alignment horizontal="right" vertical="center"/>
    </xf>
    <xf numFmtId="183" fontId="0" fillId="0" borderId="0" xfId="1" applyNumberFormat="1" applyFont="1" applyBorder="1" applyAlignment="1">
      <alignment vertical="center"/>
    </xf>
    <xf numFmtId="185" fontId="0" fillId="11" borderId="1" xfId="2" applyNumberFormat="1" applyFont="1" applyFill="1" applyBorder="1" applyAlignment="1">
      <alignment vertical="center"/>
    </xf>
    <xf numFmtId="0" fontId="0" fillId="11" borderId="10" xfId="0" applyFill="1" applyBorder="1">
      <alignment vertical="center"/>
    </xf>
    <xf numFmtId="185" fontId="0" fillId="11" borderId="5" xfId="2" applyNumberFormat="1" applyFont="1" applyFill="1" applyBorder="1" applyAlignment="1">
      <alignment vertical="center"/>
    </xf>
    <xf numFmtId="0" fontId="0" fillId="11" borderId="0" xfId="0" applyFill="1">
      <alignment vertical="center"/>
    </xf>
    <xf numFmtId="9" fontId="0" fillId="11" borderId="0" xfId="0" applyNumberFormat="1" applyFill="1">
      <alignment vertical="center"/>
    </xf>
    <xf numFmtId="9" fontId="0" fillId="11" borderId="6" xfId="0" applyNumberFormat="1" applyFill="1" applyBorder="1">
      <alignment vertical="center"/>
    </xf>
    <xf numFmtId="184" fontId="0" fillId="11" borderId="0" xfId="2" applyNumberFormat="1" applyFont="1" applyFill="1" applyBorder="1" applyAlignment="1">
      <alignment vertical="center"/>
    </xf>
    <xf numFmtId="2" fontId="0" fillId="11" borderId="0" xfId="0" applyNumberFormat="1" applyFill="1">
      <alignment vertical="center"/>
    </xf>
    <xf numFmtId="185" fontId="0" fillId="11" borderId="3" xfId="2" applyNumberFormat="1" applyFont="1" applyFill="1" applyBorder="1" applyAlignment="1">
      <alignment vertical="center"/>
    </xf>
    <xf numFmtId="0" fontId="0" fillId="11" borderId="11" xfId="0" applyFill="1" applyBorder="1">
      <alignment vertical="center"/>
    </xf>
    <xf numFmtId="184" fontId="0" fillId="11" borderId="11" xfId="2" applyNumberFormat="1" applyFont="1" applyFill="1" applyBorder="1" applyAlignment="1">
      <alignment vertical="center"/>
    </xf>
    <xf numFmtId="2" fontId="0" fillId="11" borderId="11" xfId="0" applyNumberFormat="1" applyFill="1" applyBorder="1">
      <alignment vertical="center"/>
    </xf>
    <xf numFmtId="185" fontId="0" fillId="10" borderId="1" xfId="2" applyNumberFormat="1" applyFont="1" applyFill="1" applyBorder="1" applyAlignment="1">
      <alignment vertical="center"/>
    </xf>
    <xf numFmtId="0" fontId="0" fillId="10" borderId="10" xfId="0" applyFill="1" applyBorder="1">
      <alignment vertical="center"/>
    </xf>
    <xf numFmtId="176" fontId="0" fillId="10" borderId="2" xfId="2" applyFont="1" applyFill="1" applyBorder="1" applyAlignment="1">
      <alignment vertical="center"/>
    </xf>
    <xf numFmtId="185" fontId="0" fillId="10" borderId="3" xfId="2" applyNumberFormat="1" applyFont="1" applyFill="1" applyBorder="1" applyAlignment="1">
      <alignment vertical="center"/>
    </xf>
    <xf numFmtId="0" fontId="0" fillId="10" borderId="11" xfId="0" applyFill="1" applyBorder="1">
      <alignment vertical="center"/>
    </xf>
    <xf numFmtId="176" fontId="0" fillId="10" borderId="4" xfId="2" applyFont="1" applyFill="1" applyBorder="1" applyAlignment="1">
      <alignment vertical="center"/>
    </xf>
    <xf numFmtId="10" fontId="0" fillId="11" borderId="0" xfId="1" applyNumberFormat="1" applyFont="1" applyFill="1" applyBorder="1" applyAlignment="1">
      <alignment vertical="center"/>
    </xf>
    <xf numFmtId="10" fontId="0" fillId="11" borderId="6" xfId="1" applyNumberFormat="1" applyFont="1" applyFill="1" applyBorder="1" applyAlignment="1">
      <alignment vertical="center"/>
    </xf>
    <xf numFmtId="10" fontId="0" fillId="11" borderId="11" xfId="1" applyNumberFormat="1" applyFont="1" applyFill="1" applyBorder="1" applyAlignment="1">
      <alignment vertical="center"/>
    </xf>
    <xf numFmtId="10" fontId="0" fillId="11" borderId="4" xfId="1" applyNumberFormat="1" applyFont="1" applyFill="1" applyBorder="1" applyAlignment="1">
      <alignment vertical="center"/>
    </xf>
    <xf numFmtId="10" fontId="0" fillId="0" borderId="0" xfId="1" applyNumberFormat="1" applyFont="1" applyAlignment="1">
      <alignment vertical="center"/>
    </xf>
    <xf numFmtId="0" fontId="18" fillId="6" borderId="12" xfId="0" applyFont="1" applyFill="1" applyBorder="1">
      <alignment vertical="center"/>
    </xf>
    <xf numFmtId="183" fontId="0" fillId="7" borderId="0" xfId="1" applyNumberFormat="1" applyFont="1" applyFill="1" applyBorder="1" applyAlignment="1">
      <alignment vertical="center"/>
    </xf>
    <xf numFmtId="183" fontId="0" fillId="7" borderId="11" xfId="1" applyNumberFormat="1" applyFont="1" applyFill="1" applyBorder="1" applyAlignment="1">
      <alignment vertical="center"/>
    </xf>
    <xf numFmtId="0" fontId="18" fillId="6" borderId="13" xfId="0" applyFont="1" applyFill="1" applyBorder="1" applyAlignment="1">
      <alignment horizontal="right" vertical="center"/>
    </xf>
    <xf numFmtId="0" fontId="18" fillId="6" borderId="14" xfId="0" applyFont="1" applyFill="1" applyBorder="1" applyAlignment="1">
      <alignment horizontal="right" vertical="center"/>
    </xf>
    <xf numFmtId="0" fontId="23" fillId="0" borderId="0" xfId="3" applyFont="1">
      <alignment vertical="center"/>
    </xf>
    <xf numFmtId="184" fontId="0" fillId="0" borderId="0" xfId="2" applyNumberFormat="1" applyFont="1" applyAlignment="1">
      <alignment vertical="center"/>
    </xf>
    <xf numFmtId="185" fontId="0" fillId="0" borderId="0" xfId="2" applyNumberFormat="1" applyFont="1" applyBorder="1" applyAlignment="1">
      <alignment vertical="center"/>
    </xf>
    <xf numFmtId="184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184" fontId="0" fillId="0" borderId="0" xfId="2" applyNumberFormat="1" applyFont="1" applyAlignment="1">
      <alignment horizontal="left" vertical="center"/>
    </xf>
    <xf numFmtId="184" fontId="0" fillId="0" borderId="0" xfId="2" applyNumberFormat="1" applyFont="1" applyAlignment="1">
      <alignment horizontal="right" vertical="center"/>
    </xf>
    <xf numFmtId="182" fontId="35" fillId="9" borderId="0" xfId="0" applyNumberFormat="1" applyFont="1" applyFill="1">
      <alignment vertical="center"/>
    </xf>
    <xf numFmtId="182" fontId="0" fillId="9" borderId="11" xfId="0" applyNumberFormat="1" applyFill="1" applyBorder="1">
      <alignment vertical="center"/>
    </xf>
    <xf numFmtId="1" fontId="0" fillId="0" borderId="0" xfId="0" applyNumberFormat="1">
      <alignment vertical="center"/>
    </xf>
    <xf numFmtId="0" fontId="7" fillId="2" borderId="5" xfId="0" applyFont="1" applyFill="1" applyBorder="1">
      <alignment vertical="center"/>
    </xf>
    <xf numFmtId="3" fontId="0" fillId="0" borderId="0" xfId="0" applyNumberFormat="1">
      <alignment vertical="center"/>
    </xf>
    <xf numFmtId="0" fontId="6" fillId="0" borderId="0" xfId="5"/>
    <xf numFmtId="184" fontId="36" fillId="12" borderId="0" xfId="6" applyNumberFormat="1" applyFont="1" applyFill="1" applyBorder="1"/>
    <xf numFmtId="0" fontId="36" fillId="12" borderId="0" xfId="5" applyFont="1" applyFill="1"/>
    <xf numFmtId="0" fontId="6" fillId="12" borderId="0" xfId="5" applyFill="1"/>
    <xf numFmtId="0" fontId="37" fillId="0" borderId="0" xfId="5" applyFont="1"/>
    <xf numFmtId="184" fontId="36" fillId="4" borderId="0" xfId="6" applyNumberFormat="1" applyFont="1" applyFill="1" applyBorder="1"/>
    <xf numFmtId="0" fontId="36" fillId="4" borderId="0" xfId="5" applyFont="1" applyFill="1"/>
    <xf numFmtId="0" fontId="6" fillId="4" borderId="0" xfId="5" applyFill="1"/>
    <xf numFmtId="11" fontId="6" fillId="4" borderId="0" xfId="5" applyNumberFormat="1" applyFill="1"/>
    <xf numFmtId="184" fontId="36" fillId="13" borderId="0" xfId="6" applyNumberFormat="1" applyFont="1" applyFill="1" applyBorder="1"/>
    <xf numFmtId="0" fontId="36" fillId="13" borderId="0" xfId="5" applyFont="1" applyFill="1"/>
    <xf numFmtId="0" fontId="6" fillId="13" borderId="0" xfId="5" applyFill="1"/>
    <xf numFmtId="11" fontId="6" fillId="13" borderId="0" xfId="5" applyNumberFormat="1" applyFill="1"/>
    <xf numFmtId="176" fontId="6" fillId="0" borderId="0" xfId="5" applyNumberFormat="1"/>
    <xf numFmtId="3" fontId="36" fillId="12" borderId="0" xfId="5" applyNumberFormat="1" applyFont="1" applyFill="1"/>
    <xf numFmtId="190" fontId="0" fillId="0" borderId="0" xfId="0" applyNumberFormat="1">
      <alignment vertical="center"/>
    </xf>
    <xf numFmtId="184" fontId="6" fillId="12" borderId="0" xfId="5" applyNumberFormat="1" applyFill="1"/>
    <xf numFmtId="0" fontId="38" fillId="9" borderId="0" xfId="3" applyFont="1" applyFill="1" applyBorder="1">
      <alignment vertical="center"/>
    </xf>
    <xf numFmtId="0" fontId="38" fillId="9" borderId="0" xfId="0" applyFont="1" applyFill="1">
      <alignment vertical="center"/>
    </xf>
    <xf numFmtId="0" fontId="39" fillId="9" borderId="0" xfId="0" applyFont="1" applyFill="1">
      <alignment vertical="center"/>
    </xf>
    <xf numFmtId="0" fontId="28" fillId="8" borderId="0" xfId="0" applyFont="1" applyFill="1">
      <alignment vertical="center"/>
    </xf>
    <xf numFmtId="183" fontId="0" fillId="0" borderId="0" xfId="1" applyNumberFormat="1" applyFont="1" applyAlignment="1">
      <alignment vertical="center"/>
    </xf>
    <xf numFmtId="0" fontId="36" fillId="0" borderId="0" xfId="0" applyFont="1">
      <alignment vertical="center"/>
    </xf>
    <xf numFmtId="3" fontId="36" fillId="0" borderId="0" xfId="0" applyNumberFormat="1" applyFont="1">
      <alignment vertical="center"/>
    </xf>
    <xf numFmtId="0" fontId="40" fillId="0" borderId="0" xfId="0" applyFont="1">
      <alignment vertical="center"/>
    </xf>
    <xf numFmtId="3" fontId="40" fillId="0" borderId="0" xfId="0" applyNumberFormat="1" applyFont="1">
      <alignment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>
      <alignment vertical="center"/>
    </xf>
    <xf numFmtId="0" fontId="0" fillId="2" borderId="0" xfId="0" applyFill="1" applyAlignment="1">
      <alignment horizontal="left" vertical="center" indent="1"/>
    </xf>
    <xf numFmtId="0" fontId="18" fillId="2" borderId="0" xfId="0" applyFont="1" applyFill="1" applyAlignment="1">
      <alignment horizontal="left" vertical="center"/>
    </xf>
    <xf numFmtId="0" fontId="18" fillId="9" borderId="0" xfId="0" applyFont="1" applyFill="1" applyAlignment="1">
      <alignment horizontal="center" vertical="center"/>
    </xf>
    <xf numFmtId="3" fontId="0" fillId="9" borderId="0" xfId="0" applyNumberFormat="1" applyFill="1">
      <alignment vertical="center"/>
    </xf>
    <xf numFmtId="0" fontId="0" fillId="9" borderId="0" xfId="0" applyFill="1" applyAlignment="1">
      <alignment horizontal="left" vertical="center" indent="1"/>
    </xf>
    <xf numFmtId="0" fontId="18" fillId="9" borderId="0" xfId="0" applyFont="1" applyFill="1" applyAlignment="1">
      <alignment horizontal="left" vertical="center"/>
    </xf>
    <xf numFmtId="183" fontId="0" fillId="9" borderId="0" xfId="1" applyNumberFormat="1" applyFont="1" applyFill="1" applyAlignment="1">
      <alignment vertical="center"/>
    </xf>
    <xf numFmtId="3" fontId="0" fillId="4" borderId="0" xfId="0" applyNumberFormat="1" applyFill="1">
      <alignment vertical="center"/>
    </xf>
    <xf numFmtId="0" fontId="18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 indent="1"/>
    </xf>
    <xf numFmtId="183" fontId="0" fillId="4" borderId="0" xfId="1" applyNumberFormat="1" applyFont="1" applyFill="1" applyAlignment="1">
      <alignment vertical="center"/>
    </xf>
    <xf numFmtId="3" fontId="0" fillId="4" borderId="0" xfId="0" applyNumberFormat="1" applyFill="1" applyAlignment="1">
      <alignment horizontal="left" vertical="center" indent="1"/>
    </xf>
    <xf numFmtId="0" fontId="0" fillId="0" borderId="0" xfId="0" applyAlignment="1">
      <alignment vertical="center" wrapText="1"/>
    </xf>
    <xf numFmtId="0" fontId="41" fillId="0" borderId="0" xfId="0" applyFont="1">
      <alignment vertical="center"/>
    </xf>
    <xf numFmtId="3" fontId="0" fillId="4" borderId="0" xfId="2" applyNumberFormat="1" applyFont="1" applyFill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184" fontId="43" fillId="0" borderId="0" xfId="2" applyNumberFormat="1" applyFont="1" applyAlignme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16" fontId="0" fillId="0" borderId="10" xfId="0" applyNumberFormat="1" applyBorder="1">
      <alignment vertical="center"/>
    </xf>
    <xf numFmtId="3" fontId="0" fillId="13" borderId="0" xfId="0" applyNumberFormat="1" applyFill="1">
      <alignment vertical="center"/>
    </xf>
    <xf numFmtId="3" fontId="18" fillId="13" borderId="0" xfId="0" applyNumberFormat="1" applyFont="1" applyFill="1">
      <alignment vertical="center"/>
    </xf>
    <xf numFmtId="49" fontId="44" fillId="9" borderId="5" xfId="0" applyNumberFormat="1" applyFont="1" applyFill="1" applyBorder="1" applyAlignment="1">
      <alignment horizontal="left"/>
    </xf>
    <xf numFmtId="49" fontId="44" fillId="9" borderId="5" xfId="0" applyNumberFormat="1" applyFont="1" applyFill="1" applyBorder="1" applyAlignment="1"/>
    <xf numFmtId="0" fontId="45" fillId="9" borderId="5" xfId="0" applyFont="1" applyFill="1" applyBorder="1" applyAlignment="1">
      <alignment horizontal="left" vertical="center"/>
    </xf>
    <xf numFmtId="0" fontId="18" fillId="0" borderId="6" xfId="0" applyFont="1" applyBorder="1">
      <alignment vertical="center"/>
    </xf>
    <xf numFmtId="0" fontId="18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49" fontId="24" fillId="0" borderId="0" xfId="0" applyNumberFormat="1" applyFont="1" applyAlignment="1"/>
    <xf numFmtId="0" fontId="18" fillId="0" borderId="0" xfId="0" applyFont="1" applyAlignment="1">
      <alignment horizontal="right" vertical="center"/>
    </xf>
    <xf numFmtId="186" fontId="36" fillId="4" borderId="14" xfId="2" applyNumberFormat="1" applyFont="1" applyFill="1" applyBorder="1" applyAlignment="1"/>
    <xf numFmtId="3" fontId="26" fillId="0" borderId="0" xfId="0" applyNumberFormat="1" applyFont="1" applyAlignment="1"/>
    <xf numFmtId="176" fontId="26" fillId="0" borderId="0" xfId="2" applyFont="1" applyFill="1" applyBorder="1" applyAlignment="1" applyProtection="1">
      <protection locked="0"/>
    </xf>
    <xf numFmtId="185" fontId="26" fillId="0" borderId="0" xfId="2" applyNumberFormat="1" applyFont="1" applyFill="1" applyBorder="1" applyAlignment="1" applyProtection="1">
      <protection locked="0"/>
    </xf>
    <xf numFmtId="185" fontId="26" fillId="0" borderId="0" xfId="2" applyNumberFormat="1" applyFont="1" applyFill="1" applyBorder="1" applyAlignment="1"/>
    <xf numFmtId="0" fontId="6" fillId="9" borderId="0" xfId="0" applyFont="1" applyFill="1">
      <alignment vertical="center"/>
    </xf>
    <xf numFmtId="0" fontId="28" fillId="0" borderId="0" xfId="0" applyFont="1" applyAlignment="1">
      <alignment horizontal="center" vertical="center"/>
    </xf>
    <xf numFmtId="186" fontId="36" fillId="0" borderId="0" xfId="2" applyNumberFormat="1" applyFont="1" applyFill="1" applyBorder="1" applyAlignment="1"/>
    <xf numFmtId="0" fontId="6" fillId="9" borderId="5" xfId="0" applyFont="1" applyFill="1" applyBorder="1" applyAlignment="1">
      <alignment horizontal="left" vertical="center" indent="1"/>
    </xf>
    <xf numFmtId="0" fontId="18" fillId="9" borderId="5" xfId="0" applyFont="1" applyFill="1" applyBorder="1" applyAlignment="1">
      <alignment horizontal="left" vertical="center"/>
    </xf>
    <xf numFmtId="0" fontId="28" fillId="8" borderId="1" xfId="0" applyFont="1" applyFill="1" applyBorder="1">
      <alignment vertical="center"/>
    </xf>
    <xf numFmtId="0" fontId="28" fillId="8" borderId="10" xfId="0" applyFont="1" applyFill="1" applyBorder="1">
      <alignment vertical="center"/>
    </xf>
    <xf numFmtId="176" fontId="18" fillId="9" borderId="10" xfId="2" applyFont="1" applyFill="1" applyBorder="1"/>
    <xf numFmtId="3" fontId="26" fillId="4" borderId="0" xfId="0" applyNumberFormat="1" applyFont="1" applyFill="1" applyAlignment="1"/>
    <xf numFmtId="0" fontId="18" fillId="4" borderId="5" xfId="0" applyFont="1" applyFill="1" applyBorder="1" applyAlignment="1">
      <alignment horizontal="left" vertical="center"/>
    </xf>
    <xf numFmtId="0" fontId="36" fillId="4" borderId="5" xfId="0" applyFont="1" applyFill="1" applyBorder="1" applyAlignment="1">
      <alignment horizontal="left" vertical="center" indent="1"/>
    </xf>
    <xf numFmtId="0" fontId="36" fillId="4" borderId="0" xfId="0" applyFont="1" applyFill="1">
      <alignment vertical="center"/>
    </xf>
    <xf numFmtId="0" fontId="6" fillId="0" borderId="0" xfId="0" applyFont="1">
      <alignment vertical="center"/>
    </xf>
    <xf numFmtId="185" fontId="6" fillId="0" borderId="0" xfId="2" applyNumberFormat="1" applyFont="1" applyAlignment="1">
      <alignment vertical="center"/>
    </xf>
    <xf numFmtId="0" fontId="6" fillId="4" borderId="1" xfId="0" applyFont="1" applyFill="1" applyBorder="1">
      <alignment vertical="center"/>
    </xf>
    <xf numFmtId="0" fontId="6" fillId="4" borderId="10" xfId="0" applyFont="1" applyFill="1" applyBorder="1">
      <alignment vertical="center"/>
    </xf>
    <xf numFmtId="0" fontId="6" fillId="4" borderId="2" xfId="0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4" borderId="5" xfId="0" applyFont="1" applyFill="1" applyBorder="1" applyAlignment="1">
      <alignment horizontal="left" vertical="center"/>
    </xf>
    <xf numFmtId="0" fontId="6" fillId="4" borderId="0" xfId="0" applyFont="1" applyFill="1">
      <alignment vertical="center"/>
    </xf>
    <xf numFmtId="0" fontId="6" fillId="4" borderId="6" xfId="0" applyFont="1" applyFill="1" applyBorder="1" applyAlignment="1">
      <alignment horizontal="right" vertical="center"/>
    </xf>
    <xf numFmtId="176" fontId="6" fillId="0" borderId="0" xfId="0" applyNumberFormat="1" applyFont="1">
      <alignment vertical="center"/>
    </xf>
    <xf numFmtId="0" fontId="6" fillId="4" borderId="5" xfId="0" applyFont="1" applyFill="1" applyBorder="1">
      <alignment vertical="center"/>
    </xf>
    <xf numFmtId="9" fontId="6" fillId="4" borderId="6" xfId="1" applyFont="1" applyFill="1" applyBorder="1" applyAlignment="1">
      <alignment horizontal="right" vertical="center"/>
    </xf>
    <xf numFmtId="9" fontId="6" fillId="0" borderId="0" xfId="1" applyFont="1" applyFill="1" applyBorder="1" applyAlignment="1">
      <alignment horizontal="right" vertical="center"/>
    </xf>
    <xf numFmtId="0" fontId="6" fillId="4" borderId="12" xfId="0" applyFont="1" applyFill="1" applyBorder="1">
      <alignment vertical="center"/>
    </xf>
    <xf numFmtId="0" fontId="6" fillId="4" borderId="13" xfId="0" applyFont="1" applyFill="1" applyBorder="1">
      <alignment vertical="center"/>
    </xf>
    <xf numFmtId="185" fontId="6" fillId="0" borderId="0" xfId="2" applyNumberFormat="1" applyFont="1" applyFill="1" applyAlignment="1">
      <alignment vertical="center"/>
    </xf>
    <xf numFmtId="184" fontId="6" fillId="0" borderId="0" xfId="2" applyNumberFormat="1" applyFont="1" applyAlignment="1">
      <alignment vertical="center"/>
    </xf>
    <xf numFmtId="184" fontId="6" fillId="0" borderId="0" xfId="2" applyNumberFormat="1" applyFont="1" applyAlignment="1">
      <alignment horizontal="right" vertical="center"/>
    </xf>
    <xf numFmtId="176" fontId="6" fillId="9" borderId="0" xfId="2" applyFont="1" applyFill="1" applyBorder="1"/>
    <xf numFmtId="2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indent="1"/>
    </xf>
    <xf numFmtId="11" fontId="6" fillId="0" borderId="0" xfId="0" applyNumberFormat="1" applyFont="1">
      <alignment vertical="center"/>
    </xf>
    <xf numFmtId="178" fontId="6" fillId="0" borderId="0" xfId="0" applyNumberFormat="1" applyFont="1">
      <alignment vertical="center"/>
    </xf>
    <xf numFmtId="0" fontId="6" fillId="0" borderId="0" xfId="0" applyFont="1" applyAlignment="1">
      <alignment horizontal="left" vertical="center"/>
    </xf>
    <xf numFmtId="185" fontId="6" fillId="0" borderId="0" xfId="2" applyNumberFormat="1" applyFont="1" applyBorder="1" applyAlignment="1">
      <alignment vertical="center"/>
    </xf>
    <xf numFmtId="9" fontId="6" fillId="0" borderId="0" xfId="1" applyFont="1" applyBorder="1" applyAlignment="1">
      <alignment vertical="center"/>
    </xf>
    <xf numFmtId="0" fontId="6" fillId="0" borderId="5" xfId="0" applyFont="1" applyBorder="1">
      <alignment vertical="center"/>
    </xf>
    <xf numFmtId="0" fontId="6" fillId="0" borderId="6" xfId="0" applyFont="1" applyBorder="1" applyAlignment="1">
      <alignment horizontal="center" vertical="center"/>
    </xf>
    <xf numFmtId="0" fontId="46" fillId="0" borderId="0" xfId="0" applyFont="1">
      <alignment vertical="center"/>
    </xf>
    <xf numFmtId="0" fontId="6" fillId="0" borderId="3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11" fontId="6" fillId="0" borderId="11" xfId="0" applyNumberFormat="1" applyFont="1" applyBorder="1">
      <alignment vertical="center"/>
    </xf>
    <xf numFmtId="176" fontId="6" fillId="0" borderId="0" xfId="2" applyFont="1" applyAlignment="1">
      <alignment vertical="center"/>
    </xf>
    <xf numFmtId="185" fontId="6" fillId="0" borderId="0" xfId="0" applyNumberFormat="1" applyFont="1">
      <alignment vertical="center"/>
    </xf>
    <xf numFmtId="184" fontId="6" fillId="0" borderId="0" xfId="2" applyNumberFormat="1" applyFont="1" applyAlignment="1">
      <alignment horizontal="left" vertical="center"/>
    </xf>
    <xf numFmtId="0" fontId="6" fillId="4" borderId="5" xfId="0" applyFont="1" applyFill="1" applyBorder="1" applyAlignment="1">
      <alignment horizontal="left" vertical="center" indent="1"/>
    </xf>
    <xf numFmtId="185" fontId="6" fillId="4" borderId="0" xfId="2" applyNumberFormat="1" applyFont="1" applyFill="1" applyBorder="1" applyAlignment="1">
      <alignment vertical="center"/>
    </xf>
    <xf numFmtId="185" fontId="6" fillId="4" borderId="6" xfId="2" applyNumberFormat="1" applyFont="1" applyFill="1" applyBorder="1" applyAlignment="1">
      <alignment vertical="center"/>
    </xf>
    <xf numFmtId="0" fontId="6" fillId="0" borderId="10" xfId="0" applyFont="1" applyBorder="1">
      <alignment vertical="center"/>
    </xf>
    <xf numFmtId="0" fontId="6" fillId="0" borderId="1" xfId="0" applyFont="1" applyBorder="1" applyAlignment="1">
      <alignment horizontal="center"/>
    </xf>
    <xf numFmtId="11" fontId="6" fillId="0" borderId="10" xfId="0" applyNumberFormat="1" applyFont="1" applyBorder="1">
      <alignment vertical="center"/>
    </xf>
    <xf numFmtId="0" fontId="26" fillId="0" borderId="0" xfId="0" applyFont="1">
      <alignment vertical="center"/>
    </xf>
    <xf numFmtId="0" fontId="6" fillId="0" borderId="5" xfId="0" applyFont="1" applyBorder="1" applyAlignment="1">
      <alignment horizontal="center"/>
    </xf>
    <xf numFmtId="184" fontId="6" fillId="0" borderId="0" xfId="0" applyNumberFormat="1" applyFont="1">
      <alignment vertical="center"/>
    </xf>
    <xf numFmtId="0" fontId="6" fillId="0" borderId="3" xfId="0" applyFont="1" applyBorder="1" applyAlignment="1">
      <alignment horizontal="center"/>
    </xf>
    <xf numFmtId="186" fontId="6" fillId="4" borderId="0" xfId="2" applyNumberFormat="1" applyFont="1" applyFill="1" applyBorder="1" applyAlignment="1">
      <alignment vertical="center"/>
    </xf>
    <xf numFmtId="0" fontId="6" fillId="4" borderId="3" xfId="0" applyFont="1" applyFill="1" applyBorder="1" applyAlignment="1">
      <alignment horizontal="left" vertical="center" indent="1"/>
    </xf>
    <xf numFmtId="0" fontId="6" fillId="4" borderId="11" xfId="0" applyFont="1" applyFill="1" applyBorder="1">
      <alignment vertical="center"/>
    </xf>
    <xf numFmtId="186" fontId="6" fillId="4" borderId="11" xfId="2" applyNumberFormat="1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3" fontId="6" fillId="9" borderId="0" xfId="2" applyNumberFormat="1" applyFont="1" applyFill="1" applyBorder="1" applyAlignment="1">
      <alignment vertical="center"/>
    </xf>
    <xf numFmtId="3" fontId="6" fillId="9" borderId="6" xfId="2" applyNumberFormat="1" applyFont="1" applyFill="1" applyBorder="1" applyAlignment="1">
      <alignment vertical="center"/>
    </xf>
    <xf numFmtId="3" fontId="36" fillId="9" borderId="0" xfId="2" applyNumberFormat="1" applyFont="1" applyFill="1" applyBorder="1" applyAlignment="1">
      <alignment vertical="center"/>
    </xf>
    <xf numFmtId="3" fontId="36" fillId="9" borderId="6" xfId="2" applyNumberFormat="1" applyFont="1" applyFill="1" applyBorder="1" applyAlignment="1">
      <alignment vertical="center"/>
    </xf>
    <xf numFmtId="3" fontId="18" fillId="9" borderId="0" xfId="2" applyNumberFormat="1" applyFont="1" applyFill="1" applyBorder="1" applyAlignment="1">
      <alignment vertical="center"/>
    </xf>
    <xf numFmtId="3" fontId="18" fillId="9" borderId="6" xfId="2" applyNumberFormat="1" applyFont="1" applyFill="1" applyBorder="1" applyAlignment="1">
      <alignment vertical="center"/>
    </xf>
    <xf numFmtId="3" fontId="18" fillId="9" borderId="10" xfId="2" applyNumberFormat="1" applyFont="1" applyFill="1" applyBorder="1" applyAlignment="1">
      <alignment vertical="center"/>
    </xf>
    <xf numFmtId="3" fontId="18" fillId="9" borderId="2" xfId="2" applyNumberFormat="1" applyFont="1" applyFill="1" applyBorder="1" applyAlignment="1">
      <alignment vertical="center"/>
    </xf>
    <xf numFmtId="3" fontId="18" fillId="4" borderId="0" xfId="2" applyNumberFormat="1" applyFont="1" applyFill="1" applyBorder="1" applyAlignment="1">
      <alignment vertical="center"/>
    </xf>
    <xf numFmtId="3" fontId="18" fillId="4" borderId="6" xfId="2" applyNumberFormat="1" applyFont="1" applyFill="1" applyBorder="1" applyAlignment="1">
      <alignment vertical="center"/>
    </xf>
    <xf numFmtId="3" fontId="6" fillId="4" borderId="0" xfId="2" applyNumberFormat="1" applyFont="1" applyFill="1" applyBorder="1" applyAlignment="1">
      <alignment vertical="center"/>
    </xf>
    <xf numFmtId="3" fontId="6" fillId="4" borderId="6" xfId="2" applyNumberFormat="1" applyFont="1" applyFill="1" applyBorder="1" applyAlignment="1">
      <alignment vertical="center"/>
    </xf>
    <xf numFmtId="3" fontId="6" fillId="9" borderId="0" xfId="6" applyNumberFormat="1" applyFont="1" applyFill="1" applyBorder="1"/>
    <xf numFmtId="9" fontId="6" fillId="0" borderId="0" xfId="1" applyFont="1" applyAlignment="1">
      <alignment vertical="center"/>
    </xf>
    <xf numFmtId="0" fontId="45" fillId="9" borderId="0" xfId="0" applyFont="1" applyFill="1">
      <alignment vertical="center"/>
    </xf>
    <xf numFmtId="176" fontId="45" fillId="9" borderId="0" xfId="2" applyFont="1" applyFill="1" applyBorder="1"/>
    <xf numFmtId="3" fontId="45" fillId="9" borderId="0" xfId="2" applyNumberFormat="1" applyFont="1" applyFill="1" applyBorder="1" applyAlignment="1">
      <alignment vertical="center"/>
    </xf>
    <xf numFmtId="3" fontId="45" fillId="9" borderId="6" xfId="2" applyNumberFormat="1" applyFont="1" applyFill="1" applyBorder="1" applyAlignment="1">
      <alignment vertical="center"/>
    </xf>
    <xf numFmtId="1" fontId="6" fillId="0" borderId="0" xfId="0" applyNumberFormat="1" applyFont="1">
      <alignment vertical="center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  <xf numFmtId="3" fontId="26" fillId="0" borderId="1" xfId="0" applyNumberFormat="1" applyFont="1" applyBorder="1" applyAlignment="1"/>
    <xf numFmtId="11" fontId="6" fillId="0" borderId="2" xfId="0" applyNumberFormat="1" applyFont="1" applyBorder="1">
      <alignment vertical="center"/>
    </xf>
    <xf numFmtId="11" fontId="6" fillId="0" borderId="6" xfId="0" applyNumberFormat="1" applyFont="1" applyBorder="1">
      <alignment vertical="center"/>
    </xf>
    <xf numFmtId="11" fontId="6" fillId="0" borderId="4" xfId="0" applyNumberFormat="1" applyFont="1" applyBorder="1">
      <alignment vertical="center"/>
    </xf>
    <xf numFmtId="1" fontId="6" fillId="0" borderId="6" xfId="0" applyNumberFormat="1" applyFont="1" applyBorder="1">
      <alignment vertical="center"/>
    </xf>
    <xf numFmtId="0" fontId="6" fillId="4" borderId="0" xfId="0" applyFont="1" applyFill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91" fontId="6" fillId="0" borderId="0" xfId="2" applyNumberFormat="1" applyFont="1" applyBorder="1" applyAlignment="1">
      <alignment vertical="center"/>
    </xf>
    <xf numFmtId="3" fontId="6" fillId="9" borderId="6" xfId="6" applyNumberFormat="1" applyFont="1" applyFill="1" applyBorder="1"/>
    <xf numFmtId="182" fontId="35" fillId="0" borderId="10" xfId="0" quotePrefix="1" applyNumberFormat="1" applyFont="1" applyBorder="1" applyAlignment="1">
      <alignment horizontal="center" vertical="center"/>
    </xf>
    <xf numFmtId="182" fontId="36" fillId="0" borderId="0" xfId="0" applyNumberFormat="1" applyFont="1" applyAlignment="1">
      <alignment horizontal="center" vertical="center"/>
    </xf>
    <xf numFmtId="182" fontId="36" fillId="0" borderId="11" xfId="0" applyNumberFormat="1" applyFont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185" fontId="6" fillId="4" borderId="10" xfId="2" applyNumberFormat="1" applyFont="1" applyFill="1" applyBorder="1" applyAlignment="1">
      <alignment vertical="center"/>
    </xf>
    <xf numFmtId="185" fontId="6" fillId="4" borderId="2" xfId="2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horizontal="left" vertical="center" indent="1"/>
    </xf>
    <xf numFmtId="0" fontId="6" fillId="7" borderId="10" xfId="0" applyFont="1" applyFill="1" applyBorder="1">
      <alignment vertical="center"/>
    </xf>
    <xf numFmtId="0" fontId="6" fillId="7" borderId="10" xfId="0" applyFont="1" applyFill="1" applyBorder="1" applyAlignment="1">
      <alignment horizontal="center" vertical="center"/>
    </xf>
    <xf numFmtId="3" fontId="6" fillId="7" borderId="10" xfId="2" applyNumberFormat="1" applyFont="1" applyFill="1" applyBorder="1" applyAlignment="1">
      <alignment vertical="center"/>
    </xf>
    <xf numFmtId="3" fontId="6" fillId="7" borderId="2" xfId="2" applyNumberFormat="1" applyFont="1" applyFill="1" applyBorder="1" applyAlignment="1">
      <alignment vertical="center"/>
    </xf>
    <xf numFmtId="0" fontId="18" fillId="7" borderId="5" xfId="0" applyFont="1" applyFill="1" applyBorder="1" applyAlignment="1">
      <alignment horizontal="left" vertical="center"/>
    </xf>
    <xf numFmtId="3" fontId="18" fillId="7" borderId="0" xfId="2" applyNumberFormat="1" applyFont="1" applyFill="1" applyBorder="1" applyAlignment="1">
      <alignment vertical="center"/>
    </xf>
    <xf numFmtId="3" fontId="18" fillId="7" borderId="6" xfId="2" applyNumberFormat="1" applyFont="1" applyFill="1" applyBorder="1" applyAlignment="1">
      <alignment vertical="center"/>
    </xf>
    <xf numFmtId="0" fontId="6" fillId="7" borderId="5" xfId="0" applyFont="1" applyFill="1" applyBorder="1" applyAlignment="1">
      <alignment horizontal="left" vertical="center" indent="1"/>
    </xf>
    <xf numFmtId="3" fontId="26" fillId="7" borderId="0" xfId="0" applyNumberFormat="1" applyFont="1" applyFill="1" applyAlignment="1"/>
    <xf numFmtId="0" fontId="6" fillId="7" borderId="0" xfId="0" applyFont="1" applyFill="1" applyAlignment="1">
      <alignment horizontal="center" vertical="center"/>
    </xf>
    <xf numFmtId="3" fontId="6" fillId="7" borderId="0" xfId="2" applyNumberFormat="1" applyFont="1" applyFill="1" applyBorder="1" applyAlignment="1">
      <alignment vertical="center"/>
    </xf>
    <xf numFmtId="3" fontId="6" fillId="7" borderId="6" xfId="2" applyNumberFormat="1" applyFont="1" applyFill="1" applyBorder="1" applyAlignment="1">
      <alignment vertical="center"/>
    </xf>
    <xf numFmtId="0" fontId="6" fillId="7" borderId="0" xfId="0" applyFont="1" applyFill="1">
      <alignment vertical="center"/>
    </xf>
    <xf numFmtId="0" fontId="18" fillId="7" borderId="0" xfId="0" applyFont="1" applyFill="1" applyAlignment="1">
      <alignment horizontal="left" vertical="center" indent="1"/>
    </xf>
    <xf numFmtId="0" fontId="28" fillId="8" borderId="10" xfId="0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/>
    </xf>
    <xf numFmtId="0" fontId="36" fillId="7" borderId="3" xfId="0" applyFont="1" applyFill="1" applyBorder="1">
      <alignment vertical="center"/>
    </xf>
    <xf numFmtId="0" fontId="36" fillId="7" borderId="11" xfId="0" applyFont="1" applyFill="1" applyBorder="1">
      <alignment vertical="center"/>
    </xf>
    <xf numFmtId="186" fontId="36" fillId="7" borderId="11" xfId="2" applyNumberFormat="1" applyFont="1" applyFill="1" applyBorder="1" applyAlignment="1">
      <alignment vertical="center"/>
    </xf>
    <xf numFmtId="186" fontId="36" fillId="7" borderId="4" xfId="2" applyNumberFormat="1" applyFont="1" applyFill="1" applyBorder="1" applyAlignment="1">
      <alignment vertical="center"/>
    </xf>
    <xf numFmtId="0" fontId="36" fillId="7" borderId="11" xfId="0" applyFont="1" applyFill="1" applyBorder="1" applyAlignment="1">
      <alignment horizontal="center" vertical="center"/>
    </xf>
    <xf numFmtId="0" fontId="18" fillId="14" borderId="5" xfId="0" applyFont="1" applyFill="1" applyBorder="1" applyAlignment="1">
      <alignment horizontal="left" vertical="center"/>
    </xf>
    <xf numFmtId="0" fontId="6" fillId="14" borderId="0" xfId="0" applyFont="1" applyFill="1">
      <alignment vertical="center"/>
    </xf>
    <xf numFmtId="0" fontId="6" fillId="14" borderId="0" xfId="0" applyFont="1" applyFill="1" applyAlignment="1">
      <alignment horizontal="center" vertical="center"/>
    </xf>
    <xf numFmtId="3" fontId="6" fillId="14" borderId="0" xfId="2" applyNumberFormat="1" applyFont="1" applyFill="1" applyBorder="1" applyAlignment="1">
      <alignment vertical="center"/>
    </xf>
    <xf numFmtId="3" fontId="6" fillId="14" borderId="6" xfId="2" applyNumberFormat="1" applyFont="1" applyFill="1" applyBorder="1" applyAlignment="1">
      <alignment vertical="center"/>
    </xf>
    <xf numFmtId="0" fontId="6" fillId="14" borderId="5" xfId="0" applyFont="1" applyFill="1" applyBorder="1" applyAlignment="1">
      <alignment horizontal="left" vertical="center" indent="1"/>
    </xf>
    <xf numFmtId="0" fontId="6" fillId="14" borderId="3" xfId="0" applyFont="1" applyFill="1" applyBorder="1" applyAlignment="1">
      <alignment horizontal="left" vertical="center" indent="1"/>
    </xf>
    <xf numFmtId="0" fontId="6" fillId="14" borderId="11" xfId="0" applyFont="1" applyFill="1" applyBorder="1">
      <alignment vertical="center"/>
    </xf>
    <xf numFmtId="0" fontId="6" fillId="14" borderId="11" xfId="0" applyFont="1" applyFill="1" applyBorder="1" applyAlignment="1">
      <alignment horizontal="center" vertical="center"/>
    </xf>
    <xf numFmtId="3" fontId="6" fillId="14" borderId="11" xfId="2" applyNumberFormat="1" applyFont="1" applyFill="1" applyBorder="1" applyAlignment="1">
      <alignment vertical="center"/>
    </xf>
    <xf numFmtId="3" fontId="6" fillId="14" borderId="4" xfId="2" applyNumberFormat="1" applyFont="1" applyFill="1" applyBorder="1" applyAlignment="1">
      <alignment vertical="center"/>
    </xf>
    <xf numFmtId="3" fontId="6" fillId="0" borderId="0" xfId="0" applyNumberFormat="1" applyFont="1">
      <alignment vertical="center"/>
    </xf>
    <xf numFmtId="4" fontId="6" fillId="0" borderId="0" xfId="2" applyNumberFormat="1" applyFont="1" applyFill="1" applyBorder="1" applyAlignment="1">
      <alignment vertical="center"/>
    </xf>
    <xf numFmtId="0" fontId="28" fillId="4" borderId="0" xfId="0" applyFont="1" applyFill="1">
      <alignment vertical="center"/>
    </xf>
    <xf numFmtId="0" fontId="38" fillId="4" borderId="0" xfId="3" applyFont="1" applyFill="1" applyBorder="1">
      <alignment vertical="center"/>
    </xf>
    <xf numFmtId="0" fontId="38" fillId="4" borderId="0" xfId="0" applyFont="1" applyFill="1">
      <alignment vertical="center"/>
    </xf>
    <xf numFmtId="0" fontId="39" fillId="4" borderId="0" xfId="0" applyFont="1" applyFill="1">
      <alignment vertical="center"/>
    </xf>
    <xf numFmtId="185" fontId="6" fillId="0" borderId="0" xfId="2" applyNumberFormat="1" applyFont="1" applyFill="1" applyBorder="1" applyAlignment="1">
      <alignment vertical="center"/>
    </xf>
    <xf numFmtId="183" fontId="6" fillId="0" borderId="0" xfId="1" applyNumberFormat="1" applyFont="1" applyFill="1" applyBorder="1" applyAlignment="1">
      <alignment vertical="center"/>
    </xf>
    <xf numFmtId="10" fontId="6" fillId="0" borderId="0" xfId="1" applyNumberFormat="1" applyFont="1" applyFill="1" applyBorder="1" applyAlignment="1">
      <alignment vertical="center"/>
    </xf>
    <xf numFmtId="9" fontId="0" fillId="0" borderId="0" xfId="1" applyFont="1" applyFill="1" applyAlignment="1">
      <alignment vertical="center"/>
    </xf>
    <xf numFmtId="176" fontId="36" fillId="4" borderId="0" xfId="2" applyFont="1" applyFill="1" applyBorder="1" applyAlignment="1">
      <alignment vertical="center"/>
    </xf>
    <xf numFmtId="176" fontId="36" fillId="7" borderId="11" xfId="2" applyFont="1" applyFill="1" applyBorder="1" applyAlignment="1">
      <alignment vertical="center"/>
    </xf>
    <xf numFmtId="4" fontId="6" fillId="4" borderId="0" xfId="2" applyNumberFormat="1" applyFont="1" applyFill="1" applyBorder="1" applyAlignment="1">
      <alignment vertical="center"/>
    </xf>
    <xf numFmtId="0" fontId="36" fillId="4" borderId="0" xfId="0" applyFont="1" applyFill="1" applyAlignment="1">
      <alignment horizontal="center" vertical="center"/>
    </xf>
    <xf numFmtId="4" fontId="36" fillId="4" borderId="0" xfId="2" applyNumberFormat="1" applyFont="1" applyFill="1" applyBorder="1" applyAlignment="1">
      <alignment vertical="center"/>
    </xf>
    <xf numFmtId="4" fontId="36" fillId="4" borderId="6" xfId="2" applyNumberFormat="1" applyFont="1" applyFill="1" applyBorder="1" applyAlignment="1">
      <alignment vertical="center"/>
    </xf>
    <xf numFmtId="4" fontId="6" fillId="4" borderId="6" xfId="2" applyNumberFormat="1" applyFont="1" applyFill="1" applyBorder="1" applyAlignment="1">
      <alignment vertical="center"/>
    </xf>
    <xf numFmtId="4" fontId="6" fillId="4" borderId="11" xfId="2" applyNumberFormat="1" applyFont="1" applyFill="1" applyBorder="1" applyAlignment="1">
      <alignment vertical="center"/>
    </xf>
    <xf numFmtId="4" fontId="6" fillId="4" borderId="4" xfId="2" applyNumberFormat="1" applyFont="1" applyFill="1" applyBorder="1" applyAlignment="1">
      <alignment vertical="center"/>
    </xf>
    <xf numFmtId="11" fontId="6" fillId="0" borderId="0" xfId="2" applyNumberFormat="1" applyFont="1" applyAlignment="1">
      <alignment vertical="center"/>
    </xf>
    <xf numFmtId="3" fontId="18" fillId="0" borderId="0" xfId="0" applyNumberFormat="1" applyFont="1">
      <alignment vertical="center"/>
    </xf>
    <xf numFmtId="185" fontId="18" fillId="0" borderId="0" xfId="2" applyNumberFormat="1" applyFont="1" applyFill="1" applyAlignment="1">
      <alignment vertical="center"/>
    </xf>
    <xf numFmtId="176" fontId="6" fillId="0" borderId="0" xfId="2" applyFont="1" applyFill="1" applyAlignment="1">
      <alignment vertical="center"/>
    </xf>
    <xf numFmtId="3" fontId="6" fillId="0" borderId="0" xfId="2" applyNumberFormat="1" applyFont="1" applyFill="1" applyBorder="1" applyAlignment="1">
      <alignment vertical="center"/>
    </xf>
    <xf numFmtId="0" fontId="28" fillId="8" borderId="12" xfId="0" applyFont="1" applyFill="1" applyBorder="1">
      <alignment vertical="center"/>
    </xf>
    <xf numFmtId="0" fontId="28" fillId="8" borderId="13" xfId="0" applyFont="1" applyFill="1" applyBorder="1">
      <alignment vertical="center"/>
    </xf>
    <xf numFmtId="0" fontId="47" fillId="0" borderId="10" xfId="0" applyFont="1" applyBorder="1">
      <alignment vertical="center"/>
    </xf>
    <xf numFmtId="0" fontId="47" fillId="0" borderId="0" xfId="0" applyFont="1">
      <alignment vertical="center"/>
    </xf>
    <xf numFmtId="11" fontId="47" fillId="0" borderId="0" xfId="0" applyNumberFormat="1" applyFont="1">
      <alignment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right" vertical="center"/>
    </xf>
    <xf numFmtId="0" fontId="6" fillId="9" borderId="0" xfId="0" applyFont="1" applyFill="1" applyAlignment="1">
      <alignment horizontal="center"/>
    </xf>
    <xf numFmtId="3" fontId="6" fillId="9" borderId="0" xfId="0" applyNumberFormat="1" applyFont="1" applyFill="1">
      <alignment vertical="center"/>
    </xf>
    <xf numFmtId="0" fontId="5" fillId="0" borderId="0" xfId="0" applyFont="1">
      <alignment vertical="center"/>
    </xf>
    <xf numFmtId="0" fontId="4" fillId="0" borderId="0" xfId="7"/>
    <xf numFmtId="0" fontId="18" fillId="0" borderId="0" xfId="7" applyFont="1"/>
    <xf numFmtId="178" fontId="4" fillId="0" borderId="0" xfId="7" applyNumberFormat="1"/>
    <xf numFmtId="11" fontId="4" fillId="0" borderId="0" xfId="7" applyNumberFormat="1"/>
    <xf numFmtId="193" fontId="18" fillId="0" borderId="0" xfId="8" applyNumberFormat="1" applyFont="1"/>
    <xf numFmtId="0" fontId="4" fillId="9" borderId="0" xfId="7" applyFill="1"/>
    <xf numFmtId="178" fontId="4" fillId="9" borderId="0" xfId="7" applyNumberFormat="1" applyFill="1"/>
    <xf numFmtId="11" fontId="4" fillId="9" borderId="0" xfId="7" applyNumberFormat="1" applyFill="1"/>
    <xf numFmtId="193" fontId="18" fillId="9" borderId="0" xfId="8" applyNumberFormat="1" applyFont="1" applyFill="1"/>
    <xf numFmtId="0" fontId="4" fillId="7" borderId="0" xfId="7" applyFill="1"/>
    <xf numFmtId="178" fontId="4" fillId="7" borderId="0" xfId="7" applyNumberFormat="1" applyFill="1"/>
    <xf numFmtId="11" fontId="4" fillId="7" borderId="0" xfId="7" applyNumberFormat="1" applyFill="1"/>
    <xf numFmtId="193" fontId="18" fillId="7" borderId="0" xfId="8" applyNumberFormat="1" applyFont="1" applyFill="1"/>
    <xf numFmtId="0" fontId="35" fillId="0" borderId="0" xfId="7" applyFont="1"/>
    <xf numFmtId="178" fontId="18" fillId="0" borderId="0" xfId="7" applyNumberFormat="1" applyFont="1"/>
    <xf numFmtId="178" fontId="18" fillId="7" borderId="0" xfId="7" applyNumberFormat="1" applyFont="1" applyFill="1"/>
    <xf numFmtId="178" fontId="18" fillId="9" borderId="0" xfId="7" applyNumberFormat="1" applyFont="1" applyFill="1"/>
    <xf numFmtId="185" fontId="48" fillId="0" borderId="0" xfId="2" applyNumberFormat="1" applyFont="1" applyAlignment="1">
      <alignment vertical="center"/>
    </xf>
    <xf numFmtId="0" fontId="49" fillId="0" borderId="0" xfId="0" applyFont="1" applyAlignment="1">
      <alignment horizontal="center" vertical="center"/>
    </xf>
    <xf numFmtId="0" fontId="48" fillId="0" borderId="0" xfId="0" applyFont="1" applyAlignment="1">
      <alignment horizontal="right" vertical="center"/>
    </xf>
    <xf numFmtId="9" fontId="48" fillId="0" borderId="0" xfId="1" applyFont="1" applyFill="1" applyBorder="1" applyAlignment="1">
      <alignment horizontal="right" vertical="center"/>
    </xf>
    <xf numFmtId="186" fontId="50" fillId="0" borderId="0" xfId="2" applyNumberFormat="1" applyFont="1" applyFill="1" applyBorder="1" applyAlignment="1"/>
    <xf numFmtId="0" fontId="48" fillId="0" borderId="0" xfId="0" applyFont="1">
      <alignment vertical="center"/>
    </xf>
    <xf numFmtId="192" fontId="50" fillId="0" borderId="0" xfId="2" applyNumberFormat="1" applyFont="1" applyFill="1" applyBorder="1" applyAlignment="1"/>
    <xf numFmtId="3" fontId="48" fillId="9" borderId="0" xfId="2" applyNumberFormat="1" applyFont="1" applyFill="1" applyBorder="1" applyAlignment="1">
      <alignment vertical="center"/>
    </xf>
    <xf numFmtId="3" fontId="48" fillId="7" borderId="0" xfId="2" applyNumberFormat="1" applyFont="1" applyFill="1" applyBorder="1" applyAlignment="1">
      <alignment vertical="center"/>
    </xf>
    <xf numFmtId="3" fontId="50" fillId="7" borderId="0" xfId="2" applyNumberFormat="1" applyFont="1" applyFill="1" applyBorder="1" applyAlignment="1">
      <alignment vertical="center"/>
    </xf>
    <xf numFmtId="184" fontId="48" fillId="0" borderId="0" xfId="2" applyNumberFormat="1" applyFont="1" applyAlignment="1">
      <alignment vertical="center"/>
    </xf>
    <xf numFmtId="185" fontId="48" fillId="4" borderId="10" xfId="2" applyNumberFormat="1" applyFont="1" applyFill="1" applyBorder="1" applyAlignment="1">
      <alignment vertical="center"/>
    </xf>
    <xf numFmtId="3" fontId="50" fillId="4" borderId="0" xfId="2" applyNumberFormat="1" applyFont="1" applyFill="1" applyBorder="1" applyAlignment="1">
      <alignment vertical="center"/>
    </xf>
    <xf numFmtId="3" fontId="48" fillId="4" borderId="0" xfId="2" applyNumberFormat="1" applyFont="1" applyFill="1" applyBorder="1" applyAlignment="1">
      <alignment vertical="center"/>
    </xf>
    <xf numFmtId="185" fontId="48" fillId="4" borderId="0" xfId="2" applyNumberFormat="1" applyFont="1" applyFill="1" applyBorder="1" applyAlignment="1">
      <alignment vertical="center"/>
    </xf>
    <xf numFmtId="186" fontId="48" fillId="4" borderId="0" xfId="2" applyNumberFormat="1" applyFont="1" applyFill="1" applyBorder="1" applyAlignment="1">
      <alignment vertical="center"/>
    </xf>
    <xf numFmtId="186" fontId="48" fillId="4" borderId="11" xfId="2" applyNumberFormat="1" applyFont="1" applyFill="1" applyBorder="1" applyAlignment="1">
      <alignment vertical="center"/>
    </xf>
    <xf numFmtId="0" fontId="50" fillId="9" borderId="0" xfId="0" applyFont="1" applyFill="1">
      <alignment vertical="center"/>
    </xf>
    <xf numFmtId="0" fontId="50" fillId="9" borderId="0" xfId="0" applyFont="1" applyFill="1" applyAlignment="1">
      <alignment horizontal="center" vertical="center"/>
    </xf>
    <xf numFmtId="3" fontId="48" fillId="9" borderId="0" xfId="0" applyNumberFormat="1" applyFont="1" applyFill="1">
      <alignment vertical="center"/>
    </xf>
    <xf numFmtId="0" fontId="4" fillId="0" borderId="0" xfId="0" applyFont="1">
      <alignment vertical="center"/>
    </xf>
    <xf numFmtId="0" fontId="6" fillId="0" borderId="0" xfId="5" applyAlignment="1">
      <alignment horizontal="center" vertical="top" wrapText="1"/>
    </xf>
    <xf numFmtId="184" fontId="36" fillId="12" borderId="0" xfId="6" applyNumberFormat="1" applyFont="1" applyFill="1" applyBorder="1" applyAlignment="1">
      <alignment horizontal="center" vertical="top" wrapText="1"/>
    </xf>
    <xf numFmtId="0" fontId="36" fillId="12" borderId="0" xfId="5" applyFont="1" applyFill="1" applyAlignment="1">
      <alignment horizontal="center" vertical="top" wrapText="1"/>
    </xf>
    <xf numFmtId="0" fontId="4" fillId="7" borderId="5" xfId="0" applyFont="1" applyFill="1" applyBorder="1" applyAlignment="1">
      <alignment horizontal="left" vertical="center" indent="1"/>
    </xf>
    <xf numFmtId="185" fontId="48" fillId="4" borderId="0" xfId="2" applyNumberFormat="1" applyFont="1" applyFill="1" applyAlignment="1">
      <alignment horizontal="right" vertical="center"/>
    </xf>
    <xf numFmtId="3" fontId="48" fillId="4" borderId="0" xfId="0" applyNumberFormat="1" applyFont="1" applyFill="1" applyAlignment="1">
      <alignment horizontal="right" vertical="center"/>
    </xf>
    <xf numFmtId="0" fontId="48" fillId="4" borderId="0" xfId="0" applyFont="1" applyFill="1" applyAlignment="1">
      <alignment horizontal="right" vertical="center"/>
    </xf>
    <xf numFmtId="183" fontId="48" fillId="4" borderId="0" xfId="1" applyNumberFormat="1" applyFont="1" applyFill="1" applyAlignment="1">
      <alignment horizontal="right" vertical="center"/>
    </xf>
    <xf numFmtId="11" fontId="4" fillId="0" borderId="0" xfId="0" applyNumberFormat="1" applyFont="1">
      <alignment vertical="center"/>
    </xf>
    <xf numFmtId="0" fontId="3" fillId="0" borderId="0" xfId="0" applyFont="1">
      <alignment vertical="center"/>
    </xf>
    <xf numFmtId="0" fontId="45" fillId="0" borderId="0" xfId="0" applyFont="1">
      <alignment vertical="center"/>
    </xf>
    <xf numFmtId="0" fontId="19" fillId="9" borderId="0" xfId="0" applyFont="1" applyFill="1">
      <alignment vertical="center"/>
    </xf>
    <xf numFmtId="3" fontId="19" fillId="9" borderId="0" xfId="2" applyNumberFormat="1" applyFont="1" applyFill="1" applyBorder="1" applyAlignment="1">
      <alignment vertical="center"/>
    </xf>
    <xf numFmtId="3" fontId="52" fillId="9" borderId="0" xfId="0" applyNumberFormat="1" applyFont="1" applyFill="1">
      <alignment vertical="center"/>
    </xf>
    <xf numFmtId="3" fontId="19" fillId="9" borderId="0" xfId="0" applyNumberFormat="1" applyFont="1" applyFill="1">
      <alignment vertical="center"/>
    </xf>
    <xf numFmtId="0" fontId="6" fillId="8" borderId="0" xfId="0" applyFont="1" applyFill="1">
      <alignment vertical="center"/>
    </xf>
    <xf numFmtId="0" fontId="18" fillId="8" borderId="0" xfId="0" applyFont="1" applyFill="1">
      <alignment vertical="center"/>
    </xf>
    <xf numFmtId="176" fontId="48" fillId="9" borderId="0" xfId="2" applyFont="1" applyFill="1" applyAlignment="1">
      <alignment vertical="center"/>
    </xf>
    <xf numFmtId="0" fontId="35" fillId="9" borderId="0" xfId="0" applyFont="1" applyFill="1">
      <alignment vertical="center"/>
    </xf>
    <xf numFmtId="176" fontId="35" fillId="9" borderId="0" xfId="2" applyFont="1" applyFill="1" applyAlignment="1">
      <alignment vertical="center"/>
    </xf>
    <xf numFmtId="0" fontId="3" fillId="9" borderId="0" xfId="0" applyFont="1" applyFill="1" applyAlignment="1">
      <alignment horizontal="center" vertical="center"/>
    </xf>
    <xf numFmtId="3" fontId="44" fillId="0" borderId="0" xfId="0" applyNumberFormat="1" applyFont="1" applyAlignment="1"/>
    <xf numFmtId="11" fontId="45" fillId="0" borderId="0" xfId="0" applyNumberFormat="1" applyFont="1">
      <alignment vertical="center"/>
    </xf>
    <xf numFmtId="2" fontId="45" fillId="0" borderId="0" xfId="0" applyNumberFormat="1" applyFont="1" applyAlignment="1">
      <alignment horizontal="right" vertical="center"/>
    </xf>
    <xf numFmtId="178" fontId="45" fillId="0" borderId="0" xfId="0" applyNumberFormat="1" applyFont="1">
      <alignment vertical="center"/>
    </xf>
    <xf numFmtId="184" fontId="45" fillId="0" borderId="0" xfId="2" applyNumberFormat="1" applyFont="1" applyAlignment="1">
      <alignment horizontal="right" vertical="center"/>
    </xf>
    <xf numFmtId="184" fontId="45" fillId="0" borderId="0" xfId="2" applyNumberFormat="1" applyFont="1" applyAlignment="1">
      <alignment vertical="center"/>
    </xf>
    <xf numFmtId="0" fontId="3" fillId="7" borderId="5" xfId="0" applyFont="1" applyFill="1" applyBorder="1" applyAlignment="1">
      <alignment horizontal="left" vertical="center" indent="1"/>
    </xf>
    <xf numFmtId="49" fontId="24" fillId="9" borderId="5" xfId="0" applyNumberFormat="1" applyFont="1" applyFill="1" applyBorder="1" applyAlignment="1"/>
    <xf numFmtId="176" fontId="18" fillId="9" borderId="0" xfId="2" applyFont="1" applyFill="1" applyBorder="1"/>
    <xf numFmtId="4" fontId="6" fillId="0" borderId="0" xfId="0" applyNumberFormat="1" applyFont="1">
      <alignment vertical="center"/>
    </xf>
    <xf numFmtId="4" fontId="3" fillId="0" borderId="0" xfId="2" applyNumberFormat="1" applyFont="1" applyFill="1" applyBorder="1" applyAlignment="1">
      <alignment vertical="center"/>
    </xf>
    <xf numFmtId="2" fontId="6" fillId="0" borderId="0" xfId="2" applyNumberFormat="1" applyFont="1" applyAlignment="1">
      <alignment vertical="center"/>
    </xf>
    <xf numFmtId="185" fontId="48" fillId="4" borderId="2" xfId="2" applyNumberFormat="1" applyFont="1" applyFill="1" applyBorder="1" applyAlignment="1">
      <alignment vertical="center"/>
    </xf>
    <xf numFmtId="3" fontId="50" fillId="4" borderId="6" xfId="2" applyNumberFormat="1" applyFont="1" applyFill="1" applyBorder="1" applyAlignment="1">
      <alignment vertical="center"/>
    </xf>
    <xf numFmtId="3" fontId="48" fillId="4" borderId="6" xfId="2" applyNumberFormat="1" applyFont="1" applyFill="1" applyBorder="1" applyAlignment="1">
      <alignment vertical="center"/>
    </xf>
    <xf numFmtId="185" fontId="48" fillId="4" borderId="6" xfId="2" applyNumberFormat="1" applyFont="1" applyFill="1" applyBorder="1" applyAlignment="1">
      <alignment vertical="center"/>
    </xf>
    <xf numFmtId="186" fontId="48" fillId="4" borderId="6" xfId="2" applyNumberFormat="1" applyFont="1" applyFill="1" applyBorder="1" applyAlignment="1">
      <alignment vertical="center"/>
    </xf>
    <xf numFmtId="186" fontId="48" fillId="4" borderId="4" xfId="2" applyNumberFormat="1" applyFont="1" applyFill="1" applyBorder="1" applyAlignment="1">
      <alignment vertical="center"/>
    </xf>
    <xf numFmtId="3" fontId="48" fillId="7" borderId="6" xfId="2" applyNumberFormat="1" applyFont="1" applyFill="1" applyBorder="1" applyAlignment="1">
      <alignment vertical="center"/>
    </xf>
    <xf numFmtId="3" fontId="50" fillId="7" borderId="6" xfId="2" applyNumberFormat="1" applyFont="1" applyFill="1" applyBorder="1" applyAlignment="1">
      <alignment vertical="center"/>
    </xf>
    <xf numFmtId="0" fontId="48" fillId="9" borderId="0" xfId="0" applyFont="1" applyFill="1">
      <alignment vertical="center"/>
    </xf>
    <xf numFmtId="185" fontId="0" fillId="2" borderId="0" xfId="2" applyNumberFormat="1" applyFont="1" applyFill="1" applyAlignment="1">
      <alignment vertical="center"/>
    </xf>
    <xf numFmtId="0" fontId="53" fillId="0" borderId="0" xfId="5" applyFont="1"/>
    <xf numFmtId="176" fontId="48" fillId="0" borderId="0" xfId="2" applyFont="1" applyFill="1" applyBorder="1" applyAlignment="1">
      <alignment vertical="center"/>
    </xf>
    <xf numFmtId="3" fontId="48" fillId="0" borderId="0" xfId="0" applyNumberFormat="1" applyFont="1">
      <alignment vertical="center"/>
    </xf>
    <xf numFmtId="4" fontId="48" fillId="0" borderId="0" xfId="2" applyNumberFormat="1" applyFont="1" applyFill="1" applyBorder="1" applyAlignment="1">
      <alignment vertical="center"/>
    </xf>
    <xf numFmtId="176" fontId="48" fillId="0" borderId="0" xfId="2" applyFont="1" applyFill="1" applyAlignment="1">
      <alignment vertical="center"/>
    </xf>
    <xf numFmtId="4" fontId="48" fillId="0" borderId="0" xfId="0" applyNumberFormat="1" applyFont="1">
      <alignment vertical="center"/>
    </xf>
    <xf numFmtId="176" fontId="36" fillId="4" borderId="6" xfId="2" applyFont="1" applyFill="1" applyBorder="1" applyAlignment="1">
      <alignment vertical="center"/>
    </xf>
    <xf numFmtId="0" fontId="54" fillId="0" borderId="0" xfId="0" applyFont="1">
      <alignment vertical="center"/>
    </xf>
    <xf numFmtId="3" fontId="48" fillId="2" borderId="0" xfId="0" applyNumberFormat="1" applyFont="1" applyFill="1">
      <alignment vertical="center"/>
    </xf>
    <xf numFmtId="185" fontId="48" fillId="2" borderId="0" xfId="2" applyNumberFormat="1" applyFont="1" applyFill="1" applyAlignment="1">
      <alignment vertical="center"/>
    </xf>
    <xf numFmtId="0" fontId="50" fillId="0" borderId="0" xfId="0" applyFont="1">
      <alignment vertical="center"/>
    </xf>
    <xf numFmtId="3" fontId="50" fillId="0" borderId="0" xfId="0" applyNumberFormat="1" applyFont="1">
      <alignment vertical="center"/>
    </xf>
    <xf numFmtId="11" fontId="3" fillId="0" borderId="0" xfId="0" applyNumberFormat="1" applyFont="1">
      <alignment vertical="center"/>
    </xf>
    <xf numFmtId="184" fontId="0" fillId="2" borderId="0" xfId="2" applyNumberFormat="1" applyFont="1" applyFill="1" applyAlignment="1">
      <alignment vertical="center"/>
    </xf>
    <xf numFmtId="3" fontId="0" fillId="2" borderId="0" xfId="2" applyNumberFormat="1" applyFont="1" applyFill="1" applyAlignment="1">
      <alignment vertical="center"/>
    </xf>
    <xf numFmtId="2" fontId="0" fillId="2" borderId="0" xfId="2" applyNumberFormat="1" applyFont="1" applyFill="1" applyAlignment="1">
      <alignment horizontal="center" vertical="center"/>
    </xf>
    <xf numFmtId="11" fontId="18" fillId="9" borderId="0" xfId="2" applyNumberFormat="1" applyFont="1" applyFill="1" applyBorder="1" applyAlignment="1">
      <alignment vertical="center"/>
    </xf>
    <xf numFmtId="11" fontId="50" fillId="9" borderId="0" xfId="2" applyNumberFormat="1" applyFont="1" applyFill="1" applyBorder="1" applyAlignment="1">
      <alignment vertical="center"/>
    </xf>
    <xf numFmtId="11" fontId="50" fillId="9" borderId="6" xfId="2" applyNumberFormat="1" applyFont="1" applyFill="1" applyBorder="1" applyAlignment="1">
      <alignment vertical="center"/>
    </xf>
    <xf numFmtId="11" fontId="45" fillId="9" borderId="0" xfId="2" applyNumberFormat="1" applyFont="1" applyFill="1" applyBorder="1" applyAlignment="1">
      <alignment vertical="center"/>
    </xf>
    <xf numFmtId="11" fontId="51" fillId="9" borderId="0" xfId="2" applyNumberFormat="1" applyFont="1" applyFill="1" applyBorder="1" applyAlignment="1">
      <alignment vertical="center"/>
    </xf>
    <xf numFmtId="11" fontId="51" fillId="9" borderId="6" xfId="2" applyNumberFormat="1" applyFont="1" applyFill="1" applyBorder="1" applyAlignment="1">
      <alignment vertical="center"/>
    </xf>
    <xf numFmtId="11" fontId="36" fillId="9" borderId="0" xfId="2" applyNumberFormat="1" applyFont="1" applyFill="1" applyBorder="1" applyAlignment="1">
      <alignment vertical="center"/>
    </xf>
    <xf numFmtId="11" fontId="6" fillId="9" borderId="0" xfId="2" applyNumberFormat="1" applyFont="1" applyFill="1" applyBorder="1" applyAlignment="1">
      <alignment vertical="center"/>
    </xf>
    <xf numFmtId="11" fontId="48" fillId="9" borderId="0" xfId="2" applyNumberFormat="1" applyFont="1" applyFill="1" applyBorder="1" applyAlignment="1">
      <alignment vertical="center"/>
    </xf>
    <xf numFmtId="11" fontId="48" fillId="9" borderId="6" xfId="2" applyNumberFormat="1" applyFont="1" applyFill="1" applyBorder="1" applyAlignment="1">
      <alignment vertical="center"/>
    </xf>
    <xf numFmtId="11" fontId="6" fillId="9" borderId="0" xfId="6" applyNumberFormat="1" applyFont="1" applyFill="1" applyBorder="1"/>
    <xf numFmtId="11" fontId="48" fillId="9" borderId="0" xfId="6" applyNumberFormat="1" applyFont="1" applyFill="1" applyBorder="1"/>
    <xf numFmtId="0" fontId="26" fillId="0" borderId="1" xfId="0" applyFont="1" applyBorder="1" applyAlignment="1"/>
    <xf numFmtId="0" fontId="24" fillId="0" borderId="10" xfId="0" quotePrefix="1" applyFont="1" applyBorder="1" applyAlignment="1">
      <alignment horizontal="right"/>
    </xf>
    <xf numFmtId="0" fontId="24" fillId="0" borderId="10" xfId="0" applyFont="1" applyBorder="1" applyAlignment="1">
      <alignment horizontal="right"/>
    </xf>
    <xf numFmtId="0" fontId="24" fillId="0" borderId="2" xfId="0" quotePrefix="1" applyFont="1" applyBorder="1" applyAlignment="1">
      <alignment horizontal="right"/>
    </xf>
    <xf numFmtId="183" fontId="2" fillId="0" borderId="0" xfId="1" applyNumberFormat="1" applyFont="1" applyFill="1" applyBorder="1" applyAlignment="1">
      <alignment vertical="center"/>
    </xf>
    <xf numFmtId="0" fontId="2" fillId="0" borderId="0" xfId="0" applyFont="1">
      <alignment vertical="center"/>
    </xf>
    <xf numFmtId="0" fontId="0" fillId="0" borderId="5" xfId="0" applyBorder="1" applyAlignment="1"/>
    <xf numFmtId="2" fontId="0" fillId="0" borderId="0" xfId="6" applyNumberFormat="1" applyFont="1" applyFill="1" applyBorder="1"/>
    <xf numFmtId="2" fontId="0" fillId="0" borderId="6" xfId="6" applyNumberFormat="1" applyFont="1" applyFill="1" applyBorder="1"/>
    <xf numFmtId="182" fontId="0" fillId="0" borderId="0" xfId="6" applyNumberFormat="1" applyFont="1" applyFill="1" applyBorder="1"/>
    <xf numFmtId="182" fontId="0" fillId="0" borderId="6" xfId="6" applyNumberFormat="1" applyFont="1" applyFill="1" applyBorder="1"/>
    <xf numFmtId="185" fontId="2" fillId="0" borderId="0" xfId="2" applyNumberFormat="1" applyFont="1" applyFill="1" applyBorder="1" applyAlignment="1">
      <alignment vertical="center"/>
    </xf>
    <xf numFmtId="0" fontId="0" fillId="0" borderId="3" xfId="0" applyBorder="1" applyAlignment="1"/>
    <xf numFmtId="0" fontId="18" fillId="0" borderId="1" xfId="0" quotePrefix="1" applyFont="1" applyBorder="1">
      <alignment vertical="center"/>
    </xf>
    <xf numFmtId="176" fontId="2" fillId="0" borderId="0" xfId="2" applyFont="1" applyFill="1" applyBorder="1" applyAlignment="1">
      <alignment vertical="center"/>
    </xf>
    <xf numFmtId="176" fontId="2" fillId="0" borderId="6" xfId="2" applyFont="1" applyFill="1" applyBorder="1" applyAlignment="1">
      <alignment vertical="center"/>
    </xf>
    <xf numFmtId="176" fontId="2" fillId="0" borderId="11" xfId="2" applyFont="1" applyFill="1" applyBorder="1" applyAlignment="1">
      <alignment vertical="center"/>
    </xf>
    <xf numFmtId="176" fontId="2" fillId="0" borderId="4" xfId="2" applyFont="1" applyFill="1" applyBorder="1" applyAlignment="1">
      <alignment vertical="center"/>
    </xf>
    <xf numFmtId="185" fontId="2" fillId="0" borderId="0" xfId="2" applyNumberFormat="1" applyFont="1" applyAlignment="1">
      <alignment vertical="center"/>
    </xf>
    <xf numFmtId="0" fontId="0" fillId="0" borderId="0" xfId="0" applyAlignment="1"/>
    <xf numFmtId="9" fontId="36" fillId="0" borderId="0" xfId="0" quotePrefix="1" applyNumberFormat="1" applyFont="1" applyAlignment="1">
      <alignment horizontal="left"/>
    </xf>
    <xf numFmtId="0" fontId="36" fillId="0" borderId="0" xfId="0" applyFont="1" applyAlignment="1"/>
    <xf numFmtId="9" fontId="36" fillId="0" borderId="1" xfId="0" quotePrefix="1" applyNumberFormat="1" applyFont="1" applyBorder="1" applyAlignment="1">
      <alignment horizontal="left"/>
    </xf>
    <xf numFmtId="0" fontId="0" fillId="0" borderId="6" xfId="0" quotePrefix="1" applyBorder="1" applyAlignment="1"/>
    <xf numFmtId="183" fontId="0" fillId="0" borderId="0" xfId="1" applyNumberFormat="1" applyFont="1" applyBorder="1"/>
    <xf numFmtId="183" fontId="0" fillId="0" borderId="6" xfId="1" applyNumberFormat="1" applyFont="1" applyBorder="1"/>
    <xf numFmtId="2" fontId="0" fillId="0" borderId="11" xfId="0" applyNumberFormat="1" applyBorder="1" applyAlignment="1"/>
    <xf numFmtId="183" fontId="0" fillId="0" borderId="11" xfId="1" applyNumberFormat="1" applyFont="1" applyBorder="1"/>
    <xf numFmtId="183" fontId="0" fillId="0" borderId="4" xfId="1" applyNumberFormat="1" applyFont="1" applyBorder="1"/>
    <xf numFmtId="0" fontId="18" fillId="0" borderId="1" xfId="0" quotePrefix="1" applyFont="1" applyBorder="1" applyAlignment="1">
      <alignment horizontal="left" vertical="center"/>
    </xf>
    <xf numFmtId="9" fontId="0" fillId="0" borderId="11" xfId="1" applyFont="1" applyFill="1" applyBorder="1"/>
    <xf numFmtId="9" fontId="0" fillId="0" borderId="4" xfId="1" applyFont="1" applyFill="1" applyBorder="1"/>
    <xf numFmtId="0" fontId="18" fillId="0" borderId="10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186" fontId="6" fillId="0" borderId="0" xfId="0" applyNumberFormat="1" applyFont="1">
      <alignment vertical="center"/>
    </xf>
    <xf numFmtId="0" fontId="18" fillId="0" borderId="5" xfId="0" quotePrefix="1" applyFont="1" applyBorder="1">
      <alignment vertical="center"/>
    </xf>
    <xf numFmtId="0" fontId="18" fillId="0" borderId="5" xfId="0" quotePrefix="1" applyFont="1" applyBorder="1" applyAlignment="1">
      <alignment horizontal="left" vertical="center"/>
    </xf>
    <xf numFmtId="0" fontId="26" fillId="0" borderId="5" xfId="0" applyFont="1" applyBorder="1" applyAlignment="1"/>
    <xf numFmtId="0" fontId="24" fillId="0" borderId="0" xfId="0" quotePrefix="1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6" xfId="0" quotePrefix="1" applyFont="1" applyBorder="1" applyAlignment="1">
      <alignment horizontal="right"/>
    </xf>
    <xf numFmtId="186" fontId="18" fillId="0" borderId="0" xfId="2" applyNumberFormat="1" applyFont="1" applyBorder="1" applyAlignment="1">
      <alignment horizontal="left" vertical="center"/>
    </xf>
    <xf numFmtId="186" fontId="18" fillId="0" borderId="6" xfId="2" applyNumberFormat="1" applyFont="1" applyBorder="1" applyAlignment="1">
      <alignment horizontal="left" vertical="center"/>
    </xf>
    <xf numFmtId="9" fontId="0" fillId="0" borderId="0" xfId="0" quotePrefix="1" applyNumberFormat="1" applyAlignment="1"/>
    <xf numFmtId="0" fontId="0" fillId="0" borderId="0" xfId="0" quotePrefix="1" applyAlignment="1"/>
    <xf numFmtId="2" fontId="0" fillId="0" borderId="0" xfId="0" applyNumberFormat="1" applyAlignment="1"/>
    <xf numFmtId="186" fontId="36" fillId="0" borderId="0" xfId="2" applyNumberFormat="1" applyFont="1" applyAlignment="1"/>
    <xf numFmtId="186" fontId="6" fillId="0" borderId="0" xfId="2" applyNumberFormat="1" applyFont="1" applyAlignment="1">
      <alignment vertical="center"/>
    </xf>
    <xf numFmtId="176" fontId="18" fillId="0" borderId="0" xfId="2" applyFont="1" applyAlignment="1">
      <alignment vertical="center"/>
    </xf>
    <xf numFmtId="184" fontId="1" fillId="12" borderId="0" xfId="6" applyNumberFormat="1" applyFont="1" applyFill="1" applyBorder="1"/>
    <xf numFmtId="0" fontId="55" fillId="9" borderId="0" xfId="0" applyFont="1" applyFill="1">
      <alignment vertical="center"/>
    </xf>
    <xf numFmtId="0" fontId="55" fillId="9" borderId="0" xfId="0" applyFont="1" applyFill="1" applyAlignment="1">
      <alignment horizontal="center" vertical="center"/>
    </xf>
    <xf numFmtId="3" fontId="56" fillId="9" borderId="0" xfId="0" applyNumberFormat="1" applyFont="1" applyFill="1">
      <alignment vertical="center"/>
    </xf>
    <xf numFmtId="185" fontId="6" fillId="9" borderId="0" xfId="2" applyNumberFormat="1" applyFont="1" applyFill="1" applyAlignment="1">
      <alignment vertical="center"/>
    </xf>
    <xf numFmtId="185" fontId="56" fillId="9" borderId="0" xfId="2" applyNumberFormat="1" applyFont="1" applyFill="1" applyAlignment="1">
      <alignment vertical="center"/>
    </xf>
    <xf numFmtId="185" fontId="48" fillId="9" borderId="0" xfId="2" applyNumberFormat="1" applyFont="1" applyFill="1" applyAlignment="1">
      <alignment vertical="center"/>
    </xf>
    <xf numFmtId="11" fontId="55" fillId="9" borderId="0" xfId="2" applyNumberFormat="1" applyFont="1" applyFill="1" applyBorder="1" applyAlignment="1">
      <alignment vertical="center"/>
    </xf>
    <xf numFmtId="11" fontId="57" fillId="9" borderId="0" xfId="2" applyNumberFormat="1" applyFont="1" applyFill="1" applyBorder="1" applyAlignment="1">
      <alignment vertical="center"/>
    </xf>
    <xf numFmtId="11" fontId="56" fillId="9" borderId="0" xfId="2" applyNumberFormat="1" applyFont="1" applyFill="1" applyBorder="1" applyAlignment="1">
      <alignment vertical="center"/>
    </xf>
    <xf numFmtId="11" fontId="56" fillId="9" borderId="0" xfId="6" applyNumberFormat="1" applyFont="1" applyFill="1" applyBorder="1"/>
    <xf numFmtId="3" fontId="56" fillId="7" borderId="0" xfId="2" applyNumberFormat="1" applyFont="1" applyFill="1" applyBorder="1" applyAlignment="1">
      <alignment vertical="center"/>
    </xf>
    <xf numFmtId="3" fontId="55" fillId="7" borderId="0" xfId="2" applyNumberFormat="1" applyFont="1" applyFill="1" applyBorder="1" applyAlignment="1">
      <alignment vertical="center"/>
    </xf>
    <xf numFmtId="184" fontId="56" fillId="0" borderId="0" xfId="2" applyNumberFormat="1" applyFont="1" applyAlignment="1">
      <alignment vertical="center"/>
    </xf>
    <xf numFmtId="185" fontId="56" fillId="4" borderId="10" xfId="2" applyNumberFormat="1" applyFont="1" applyFill="1" applyBorder="1" applyAlignment="1">
      <alignment vertical="center"/>
    </xf>
    <xf numFmtId="3" fontId="55" fillId="4" borderId="0" xfId="2" applyNumberFormat="1" applyFont="1" applyFill="1" applyBorder="1" applyAlignment="1">
      <alignment vertical="center"/>
    </xf>
    <xf numFmtId="3" fontId="56" fillId="4" borderId="0" xfId="2" applyNumberFormat="1" applyFont="1" applyFill="1" applyBorder="1" applyAlignment="1">
      <alignment vertical="center"/>
    </xf>
    <xf numFmtId="185" fontId="56" fillId="4" borderId="0" xfId="2" applyNumberFormat="1" applyFont="1" applyFill="1" applyBorder="1" applyAlignment="1">
      <alignment vertical="center"/>
    </xf>
    <xf numFmtId="176" fontId="55" fillId="4" borderId="0" xfId="2" applyFont="1" applyFill="1" applyBorder="1" applyAlignment="1">
      <alignment vertical="center"/>
    </xf>
    <xf numFmtId="186" fontId="56" fillId="4" borderId="0" xfId="2" applyNumberFormat="1" applyFont="1" applyFill="1" applyBorder="1" applyAlignment="1">
      <alignment vertical="center"/>
    </xf>
    <xf numFmtId="186" fontId="56" fillId="4" borderId="11" xfId="2" applyNumberFormat="1" applyFont="1" applyFill="1" applyBorder="1" applyAlignment="1">
      <alignment vertical="center"/>
    </xf>
    <xf numFmtId="0" fontId="56" fillId="0" borderId="0" xfId="0" applyFont="1">
      <alignment vertical="center"/>
    </xf>
    <xf numFmtId="4" fontId="56" fillId="0" borderId="0" xfId="0" applyNumberFormat="1" applyFont="1">
      <alignment vertical="center"/>
    </xf>
    <xf numFmtId="4" fontId="56" fillId="0" borderId="0" xfId="2" applyNumberFormat="1" applyFont="1" applyFill="1" applyBorder="1" applyAlignment="1">
      <alignment vertical="center"/>
    </xf>
    <xf numFmtId="176" fontId="56" fillId="0" borderId="0" xfId="2" applyFont="1" applyFill="1" applyAlignment="1">
      <alignment vertical="center"/>
    </xf>
    <xf numFmtId="184" fontId="26" fillId="12" borderId="0" xfId="5" applyNumberFormat="1" applyFont="1" applyFill="1"/>
    <xf numFmtId="184" fontId="56" fillId="2" borderId="0" xfId="2" applyNumberFormat="1" applyFont="1" applyFill="1" applyAlignment="1">
      <alignment vertical="center"/>
    </xf>
    <xf numFmtId="3" fontId="56" fillId="2" borderId="0" xfId="2" applyNumberFormat="1" applyFont="1" applyFill="1" applyAlignment="1">
      <alignment vertical="center"/>
    </xf>
    <xf numFmtId="3" fontId="56" fillId="0" borderId="0" xfId="0" applyNumberFormat="1" applyFont="1">
      <alignment vertical="center"/>
    </xf>
    <xf numFmtId="0" fontId="58" fillId="0" borderId="0" xfId="0" applyFont="1">
      <alignment vertical="center"/>
    </xf>
    <xf numFmtId="0" fontId="56" fillId="9" borderId="0" xfId="0" applyFont="1" applyFill="1">
      <alignment vertical="center"/>
    </xf>
    <xf numFmtId="185" fontId="56" fillId="0" borderId="0" xfId="2" applyNumberFormat="1" applyFont="1" applyAlignment="1">
      <alignment vertical="center"/>
    </xf>
    <xf numFmtId="3" fontId="56" fillId="4" borderId="0" xfId="0" applyNumberFormat="1" applyFont="1" applyFill="1">
      <alignment vertical="center"/>
    </xf>
    <xf numFmtId="0" fontId="56" fillId="4" borderId="0" xfId="0" applyFont="1" applyFill="1">
      <alignment vertical="center"/>
    </xf>
    <xf numFmtId="183" fontId="56" fillId="4" borderId="0" xfId="1" applyNumberFormat="1" applyFont="1" applyFill="1" applyAlignment="1">
      <alignment vertical="center"/>
    </xf>
    <xf numFmtId="0" fontId="3" fillId="9" borderId="0" xfId="0" applyFont="1" applyFill="1">
      <alignment vertical="center"/>
    </xf>
    <xf numFmtId="0" fontId="18" fillId="9" borderId="1" xfId="0" applyFont="1" applyFill="1" applyBorder="1">
      <alignment vertical="center"/>
    </xf>
    <xf numFmtId="0" fontId="18" fillId="9" borderId="2" xfId="0" applyFont="1" applyFill="1" applyBorder="1">
      <alignment vertical="center"/>
    </xf>
    <xf numFmtId="0" fontId="18" fillId="9" borderId="5" xfId="0" applyFont="1" applyFill="1" applyBorder="1" applyAlignment="1">
      <alignment horizontal="center" vertical="center"/>
    </xf>
    <xf numFmtId="0" fontId="24" fillId="9" borderId="6" xfId="0" applyFont="1" applyFill="1" applyBorder="1" applyAlignment="1">
      <alignment horizontal="center" vertical="center"/>
    </xf>
    <xf numFmtId="0" fontId="45" fillId="9" borderId="5" xfId="0" applyFont="1" applyFill="1" applyBorder="1">
      <alignment vertical="center"/>
    </xf>
    <xf numFmtId="0" fontId="6" fillId="9" borderId="5" xfId="0" applyFont="1" applyFill="1" applyBorder="1">
      <alignment vertical="center"/>
    </xf>
    <xf numFmtId="0" fontId="6" fillId="9" borderId="6" xfId="0" applyFont="1" applyFill="1" applyBorder="1" applyAlignment="1">
      <alignment horizontal="center" vertical="center"/>
    </xf>
    <xf numFmtId="0" fontId="3" fillId="9" borderId="5" xfId="0" applyFont="1" applyFill="1" applyBorder="1">
      <alignment vertical="center"/>
    </xf>
    <xf numFmtId="0" fontId="1" fillId="9" borderId="5" xfId="0" applyFont="1" applyFill="1" applyBorder="1">
      <alignment vertical="center"/>
    </xf>
    <xf numFmtId="0" fontId="6" fillId="9" borderId="3" xfId="0" applyFont="1" applyFill="1" applyBorder="1">
      <alignment vertical="center"/>
    </xf>
    <xf numFmtId="0" fontId="6" fillId="9" borderId="11" xfId="0" applyFont="1" applyFill="1" applyBorder="1">
      <alignment vertical="center"/>
    </xf>
    <xf numFmtId="0" fontId="3" fillId="9" borderId="11" xfId="0" applyFont="1" applyFill="1" applyBorder="1">
      <alignment vertical="center"/>
    </xf>
    <xf numFmtId="0" fontId="6" fillId="9" borderId="4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9" borderId="10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182" fontId="35" fillId="9" borderId="0" xfId="0" quotePrefix="1" applyNumberFormat="1" applyFont="1" applyFill="1" applyAlignment="1">
      <alignment horizontal="center" vertical="center"/>
    </xf>
    <xf numFmtId="0" fontId="6" fillId="9" borderId="6" xfId="0" applyFont="1" applyFill="1" applyBorder="1" applyAlignment="1">
      <alignment horizontal="center"/>
    </xf>
    <xf numFmtId="182" fontId="36" fillId="9" borderId="0" xfId="0" applyNumberFormat="1" applyFont="1" applyFill="1" applyAlignment="1">
      <alignment horizontal="center" vertical="center"/>
    </xf>
    <xf numFmtId="182" fontId="36" fillId="9" borderId="11" xfId="0" applyNumberFormat="1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/>
    </xf>
    <xf numFmtId="183" fontId="0" fillId="0" borderId="0" xfId="0" applyNumberFormat="1">
      <alignment vertical="center"/>
    </xf>
    <xf numFmtId="0" fontId="0" fillId="15" borderId="0" xfId="0" applyFill="1">
      <alignment vertical="center"/>
    </xf>
    <xf numFmtId="0" fontId="0" fillId="15" borderId="10" xfId="0" applyFill="1" applyBorder="1">
      <alignment vertical="center"/>
    </xf>
    <xf numFmtId="0" fontId="18" fillId="15" borderId="0" xfId="0" applyFont="1" applyFill="1">
      <alignment vertical="center"/>
    </xf>
    <xf numFmtId="11" fontId="0" fillId="15" borderId="0" xfId="0" applyNumberFormat="1" applyFill="1">
      <alignment vertical="center"/>
    </xf>
    <xf numFmtId="0" fontId="0" fillId="15" borderId="11" xfId="0" applyFill="1" applyBorder="1">
      <alignment vertical="center"/>
    </xf>
    <xf numFmtId="3" fontId="0" fillId="15" borderId="0" xfId="0" applyNumberFormat="1" applyFill="1">
      <alignment vertical="center"/>
    </xf>
    <xf numFmtId="3" fontId="18" fillId="15" borderId="0" xfId="0" applyNumberFormat="1" applyFont="1" applyFill="1">
      <alignment vertical="center"/>
    </xf>
    <xf numFmtId="0" fontId="0" fillId="15" borderId="0" xfId="0" applyFill="1" applyAlignment="1">
      <alignment horizontal="left" vertical="center" indent="1"/>
    </xf>
    <xf numFmtId="185" fontId="0" fillId="15" borderId="0" xfId="2" applyNumberFormat="1" applyFont="1" applyFill="1" applyAlignment="1">
      <alignment vertical="center"/>
    </xf>
    <xf numFmtId="185" fontId="6" fillId="15" borderId="0" xfId="2" applyNumberFormat="1" applyFont="1" applyFill="1" applyAlignment="1">
      <alignment vertical="center"/>
    </xf>
    <xf numFmtId="0" fontId="60" fillId="0" borderId="0" xfId="0" applyFont="1">
      <alignment vertical="center"/>
    </xf>
    <xf numFmtId="0" fontId="61" fillId="15" borderId="0" xfId="0" applyFont="1" applyFill="1">
      <alignment vertical="center"/>
    </xf>
    <xf numFmtId="0" fontId="59" fillId="0" borderId="10" xfId="0" applyFont="1" applyBorder="1">
      <alignment vertical="center"/>
    </xf>
    <xf numFmtId="0" fontId="62" fillId="0" borderId="0" xfId="0" applyFont="1">
      <alignment vertical="center"/>
    </xf>
    <xf numFmtId="11" fontId="62" fillId="0" borderId="0" xfId="0" applyNumberFormat="1" applyFont="1">
      <alignment vertical="center"/>
    </xf>
    <xf numFmtId="0" fontId="62" fillId="0" borderId="11" xfId="0" applyFont="1" applyBorder="1">
      <alignment vertical="center"/>
    </xf>
    <xf numFmtId="9" fontId="0" fillId="15" borderId="0" xfId="1" applyFont="1" applyFill="1" applyAlignment="1">
      <alignment vertical="center"/>
    </xf>
    <xf numFmtId="0" fontId="60" fillId="15" borderId="0" xfId="0" applyFont="1" applyFill="1">
      <alignment vertical="center"/>
    </xf>
    <xf numFmtId="0" fontId="59" fillId="15" borderId="0" xfId="0" applyFont="1" applyFill="1">
      <alignment vertical="center"/>
    </xf>
    <xf numFmtId="0" fontId="62" fillId="15" borderId="0" xfId="0" applyFont="1" applyFill="1">
      <alignment vertical="center"/>
    </xf>
    <xf numFmtId="0" fontId="63" fillId="15" borderId="0" xfId="0" applyFont="1" applyFill="1">
      <alignment vertical="center"/>
    </xf>
    <xf numFmtId="11" fontId="0" fillId="0" borderId="11" xfId="0" applyNumberFormat="1" applyBorder="1">
      <alignment vertical="center"/>
    </xf>
    <xf numFmtId="0" fontId="6" fillId="15" borderId="0" xfId="5" applyFill="1"/>
    <xf numFmtId="11" fontId="6" fillId="15" borderId="0" xfId="5" applyNumberFormat="1" applyFill="1"/>
    <xf numFmtId="0" fontId="61" fillId="0" borderId="0" xfId="0" applyFont="1" applyAlignment="1"/>
    <xf numFmtId="0" fontId="61" fillId="0" borderId="1" xfId="0" applyFont="1" applyBorder="1" applyAlignment="1"/>
    <xf numFmtId="0" fontId="61" fillId="0" borderId="10" xfId="0" applyFont="1" applyBorder="1" applyAlignment="1"/>
    <xf numFmtId="0" fontId="61" fillId="0" borderId="2" xfId="0" applyFont="1" applyBorder="1" applyAlignment="1"/>
    <xf numFmtId="195" fontId="0" fillId="0" borderId="5" xfId="9" applyNumberFormat="1" applyFont="1" applyBorder="1" applyAlignment="1"/>
    <xf numFmtId="195" fontId="0" fillId="0" borderId="0" xfId="9" applyNumberFormat="1" applyFont="1" applyBorder="1" applyAlignment="1"/>
    <xf numFmtId="195" fontId="0" fillId="0" borderId="0" xfId="9" applyNumberFormat="1" applyFont="1" applyAlignment="1"/>
    <xf numFmtId="195" fontId="0" fillId="0" borderId="6" xfId="9" applyNumberFormat="1" applyFont="1" applyBorder="1" applyAlignment="1"/>
    <xf numFmtId="195" fontId="61" fillId="0" borderId="5" xfId="9" applyNumberFormat="1" applyFont="1" applyBorder="1" applyAlignment="1"/>
    <xf numFmtId="9" fontId="61" fillId="0" borderId="0" xfId="1" applyFont="1" applyBorder="1" applyAlignment="1"/>
    <xf numFmtId="9" fontId="61" fillId="0" borderId="6" xfId="1" applyFont="1" applyBorder="1" applyAlignment="1"/>
    <xf numFmtId="9" fontId="61" fillId="0" borderId="0" xfId="1" applyFont="1" applyAlignment="1"/>
    <xf numFmtId="195" fontId="61" fillId="0" borderId="6" xfId="9" applyNumberFormat="1" applyFont="1" applyBorder="1" applyAlignment="1"/>
    <xf numFmtId="183" fontId="0" fillId="0" borderId="0" xfId="1" applyNumberFormat="1" applyFont="1" applyBorder="1" applyAlignment="1"/>
    <xf numFmtId="183" fontId="0" fillId="0" borderId="6" xfId="1" applyNumberFormat="1" applyFont="1" applyBorder="1" applyAlignment="1"/>
    <xf numFmtId="183" fontId="0" fillId="0" borderId="0" xfId="1" applyNumberFormat="1" applyFont="1" applyAlignment="1"/>
    <xf numFmtId="195" fontId="0" fillId="0" borderId="3" xfId="9" applyNumberFormat="1" applyFont="1" applyBorder="1" applyAlignment="1"/>
    <xf numFmtId="183" fontId="0" fillId="0" borderId="11" xfId="1" applyNumberFormat="1" applyFont="1" applyBorder="1" applyAlignment="1"/>
    <xf numFmtId="183" fontId="0" fillId="0" borderId="4" xfId="1" applyNumberFormat="1" applyFont="1" applyBorder="1" applyAlignment="1"/>
    <xf numFmtId="183" fontId="0" fillId="0" borderId="3" xfId="1" applyNumberFormat="1" applyFont="1" applyBorder="1" applyAlignment="1"/>
    <xf numFmtId="195" fontId="0" fillId="0" borderId="4" xfId="9" applyNumberFormat="1" applyFont="1" applyBorder="1" applyAlignment="1"/>
    <xf numFmtId="10" fontId="0" fillId="0" borderId="0" xfId="1" applyNumberFormat="1" applyFont="1" applyBorder="1"/>
    <xf numFmtId="196" fontId="0" fillId="0" borderId="0" xfId="9" applyNumberFormat="1" applyFont="1" applyAlignment="1"/>
    <xf numFmtId="196" fontId="0" fillId="0" borderId="0" xfId="9" applyNumberFormat="1" applyFont="1" applyBorder="1" applyAlignment="1"/>
    <xf numFmtId="0" fontId="65" fillId="16" borderId="0" xfId="10" applyAlignment="1">
      <alignment horizontal="center" vertical="center"/>
    </xf>
    <xf numFmtId="185" fontId="65" fillId="16" borderId="0" xfId="10" applyNumberFormat="1" applyAlignment="1">
      <alignment vertical="center"/>
    </xf>
    <xf numFmtId="17" fontId="0" fillId="0" borderId="10" xfId="0" applyNumberFormat="1" applyBorder="1">
      <alignment vertical="center"/>
    </xf>
    <xf numFmtId="197" fontId="0" fillId="0" borderId="10" xfId="0" applyNumberFormat="1" applyBorder="1">
      <alignment vertical="center"/>
    </xf>
    <xf numFmtId="3" fontId="17" fillId="17" borderId="0" xfId="11" applyNumberFormat="1">
      <alignment vertical="center"/>
    </xf>
    <xf numFmtId="185" fontId="17" fillId="17" borderId="0" xfId="11" applyNumberFormat="1" applyAlignment="1">
      <alignment vertical="center"/>
    </xf>
    <xf numFmtId="11" fontId="6" fillId="9" borderId="0" xfId="0" applyNumberFormat="1" applyFont="1" applyFill="1">
      <alignment vertical="center"/>
    </xf>
    <xf numFmtId="11" fontId="1" fillId="0" borderId="0" xfId="0" applyNumberFormat="1" applyFont="1">
      <alignment vertical="center"/>
    </xf>
    <xf numFmtId="0" fontId="1" fillId="0" borderId="0" xfId="0" applyFont="1">
      <alignment vertical="center"/>
    </xf>
    <xf numFmtId="183" fontId="48" fillId="0" borderId="0" xfId="0" applyNumberFormat="1" applyFont="1">
      <alignment vertical="center"/>
    </xf>
    <xf numFmtId="0" fontId="1" fillId="0" borderId="0" xfId="5" applyFont="1"/>
    <xf numFmtId="177" fontId="0" fillId="0" borderId="5" xfId="9" applyFont="1" applyBorder="1">
      <alignment vertical="center"/>
    </xf>
    <xf numFmtId="177" fontId="0" fillId="0" borderId="6" xfId="9" applyFont="1" applyBorder="1">
      <alignment vertical="center"/>
    </xf>
    <xf numFmtId="3" fontId="65" fillId="16" borderId="0" xfId="10" applyNumberFormat="1">
      <alignment vertical="center"/>
    </xf>
    <xf numFmtId="184" fontId="65" fillId="16" borderId="0" xfId="10" applyNumberFormat="1" applyAlignment="1">
      <alignment vertical="center"/>
    </xf>
    <xf numFmtId="0" fontId="17" fillId="17" borderId="0" xfId="11">
      <alignment vertical="center"/>
    </xf>
    <xf numFmtId="3" fontId="56" fillId="15" borderId="0" xfId="2" applyNumberFormat="1" applyFont="1" applyFill="1" applyAlignment="1">
      <alignment vertical="center"/>
    </xf>
    <xf numFmtId="187" fontId="17" fillId="17" borderId="0" xfId="11" applyNumberFormat="1">
      <alignment vertical="center"/>
    </xf>
    <xf numFmtId="0" fontId="36" fillId="19" borderId="18" xfId="13" applyFont="1" applyAlignment="1">
      <alignment horizontal="center" vertical="top" wrapText="1"/>
    </xf>
    <xf numFmtId="0" fontId="66" fillId="18" borderId="0" xfId="12" applyAlignment="1">
      <alignment horizontal="center" vertical="top" wrapText="1"/>
    </xf>
    <xf numFmtId="0" fontId="17" fillId="21" borderId="0" xfId="15" applyAlignment="1">
      <alignment horizontal="center" vertical="top" wrapText="1"/>
    </xf>
    <xf numFmtId="189" fontId="17" fillId="19" borderId="18" xfId="13" applyNumberFormat="1" applyAlignment="1"/>
    <xf numFmtId="3" fontId="66" fillId="18" borderId="0" xfId="12" applyNumberFormat="1" applyAlignment="1"/>
    <xf numFmtId="184" fontId="17" fillId="21" borderId="0" xfId="15" applyNumberFormat="1" applyAlignment="1"/>
    <xf numFmtId="184" fontId="26" fillId="19" borderId="18" xfId="13" applyNumberFormat="1" applyFont="1" applyAlignment="1"/>
    <xf numFmtId="184" fontId="66" fillId="18" borderId="0" xfId="12" applyNumberFormat="1" applyAlignment="1"/>
    <xf numFmtId="184" fontId="17" fillId="19" borderId="18" xfId="13" applyNumberFormat="1" applyAlignment="1"/>
    <xf numFmtId="184" fontId="17" fillId="22" borderId="0" xfId="16" applyNumberFormat="1" applyAlignment="1"/>
    <xf numFmtId="0" fontId="17" fillId="21" borderId="0" xfId="15" applyAlignment="1"/>
    <xf numFmtId="0" fontId="17" fillId="22" borderId="0" xfId="16" applyAlignment="1"/>
    <xf numFmtId="0" fontId="1" fillId="19" borderId="18" xfId="13" applyFont="1" applyAlignment="1">
      <alignment horizontal="center" vertical="top" wrapText="1"/>
    </xf>
    <xf numFmtId="0" fontId="17" fillId="22" borderId="0" xfId="16" applyAlignment="1">
      <alignment horizontal="center" vertical="top" wrapText="1"/>
    </xf>
    <xf numFmtId="0" fontId="17" fillId="19" borderId="18" xfId="13" applyAlignment="1"/>
    <xf numFmtId="0" fontId="66" fillId="18" borderId="0" xfId="12" applyAlignment="1"/>
    <xf numFmtId="194" fontId="17" fillId="22" borderId="0" xfId="16" applyNumberFormat="1" applyAlignment="1"/>
    <xf numFmtId="3" fontId="36" fillId="19" borderId="18" xfId="13" applyNumberFormat="1" applyFont="1" applyAlignment="1"/>
    <xf numFmtId="3" fontId="17" fillId="21" borderId="0" xfId="15" applyNumberFormat="1" applyAlignment="1"/>
    <xf numFmtId="0" fontId="65" fillId="16" borderId="0" xfId="10" applyAlignment="1"/>
    <xf numFmtId="11" fontId="65" fillId="16" borderId="0" xfId="10" applyNumberFormat="1" applyAlignment="1"/>
    <xf numFmtId="0" fontId="17" fillId="26" borderId="0" xfId="20" applyAlignment="1"/>
    <xf numFmtId="0" fontId="17" fillId="20" borderId="0" xfId="14" applyAlignment="1"/>
    <xf numFmtId="11" fontId="17" fillId="20" borderId="0" xfId="14" applyNumberFormat="1" applyAlignment="1"/>
    <xf numFmtId="3" fontId="61" fillId="13" borderId="0" xfId="0" applyNumberFormat="1" applyFont="1" applyFill="1">
      <alignment vertical="center"/>
    </xf>
    <xf numFmtId="3" fontId="17" fillId="20" borderId="0" xfId="14" applyNumberFormat="1">
      <alignment vertical="center"/>
    </xf>
    <xf numFmtId="185" fontId="1" fillId="13" borderId="0" xfId="2" applyNumberFormat="1" applyFont="1" applyFill="1" applyAlignment="1">
      <alignment vertical="center"/>
    </xf>
    <xf numFmtId="184" fontId="1" fillId="13" borderId="0" xfId="2" applyNumberFormat="1" applyFont="1" applyFill="1" applyAlignment="1">
      <alignment vertical="center"/>
    </xf>
    <xf numFmtId="177" fontId="0" fillId="0" borderId="1" xfId="9" applyFont="1" applyBorder="1">
      <alignment vertical="center"/>
    </xf>
    <xf numFmtId="177" fontId="0" fillId="0" borderId="2" xfId="9" applyFont="1" applyBorder="1">
      <alignment vertical="center"/>
    </xf>
    <xf numFmtId="3" fontId="67" fillId="15" borderId="0" xfId="0" applyNumberFormat="1" applyFont="1" applyFill="1">
      <alignment vertical="center"/>
    </xf>
    <xf numFmtId="0" fontId="1" fillId="15" borderId="0" xfId="5" applyFont="1" applyFill="1"/>
    <xf numFmtId="11" fontId="17" fillId="26" borderId="0" xfId="20" applyNumberFormat="1" applyAlignment="1"/>
    <xf numFmtId="0" fontId="61" fillId="23" borderId="0" xfId="17" applyFont="1" applyAlignment="1">
      <alignment horizontal="center" vertical="center"/>
    </xf>
    <xf numFmtId="0" fontId="61" fillId="23" borderId="0" xfId="17" applyFont="1" applyAlignment="1">
      <alignment horizontal="left" vertical="center"/>
    </xf>
    <xf numFmtId="0" fontId="61" fillId="27" borderId="0" xfId="21" applyFont="1" applyAlignment="1">
      <alignment horizontal="left" vertical="center"/>
    </xf>
    <xf numFmtId="0" fontId="61" fillId="27" borderId="0" xfId="21" applyFont="1" applyAlignment="1">
      <alignment horizontal="center" vertical="center"/>
    </xf>
    <xf numFmtId="0" fontId="61" fillId="24" borderId="0" xfId="18" applyFont="1" applyAlignment="1">
      <alignment horizontal="center" vertical="center"/>
    </xf>
    <xf numFmtId="185" fontId="48" fillId="15" borderId="0" xfId="2" applyNumberFormat="1" applyFont="1" applyFill="1" applyAlignment="1">
      <alignment vertical="center"/>
    </xf>
    <xf numFmtId="2" fontId="17" fillId="25" borderId="0" xfId="19" applyNumberFormat="1" applyAlignment="1">
      <alignment horizontal="center" vertical="center"/>
    </xf>
    <xf numFmtId="0" fontId="17" fillId="25" borderId="0" xfId="19">
      <alignment vertical="center"/>
    </xf>
    <xf numFmtId="185" fontId="17" fillId="25" borderId="0" xfId="19" applyNumberFormat="1" applyAlignment="1">
      <alignment vertical="center"/>
    </xf>
    <xf numFmtId="3" fontId="17" fillId="25" borderId="0" xfId="19" applyNumberFormat="1" applyAlignment="1">
      <alignment vertical="center"/>
    </xf>
    <xf numFmtId="3" fontId="56" fillId="15" borderId="0" xfId="0" applyNumberFormat="1" applyFont="1" applyFill="1">
      <alignment vertical="center"/>
    </xf>
    <xf numFmtId="3" fontId="48" fillId="15" borderId="0" xfId="0" applyNumberFormat="1" applyFont="1" applyFill="1">
      <alignment vertical="center"/>
    </xf>
    <xf numFmtId="4" fontId="26" fillId="9" borderId="0" xfId="0" applyNumberFormat="1" applyFont="1" applyFill="1">
      <alignment vertical="center"/>
    </xf>
    <xf numFmtId="198" fontId="17" fillId="26" borderId="0" xfId="20" applyNumberFormat="1">
      <alignment vertical="center"/>
    </xf>
    <xf numFmtId="198" fontId="17" fillId="26" borderId="0" xfId="20" applyNumberFormat="1" applyAlignment="1">
      <alignment vertical="center"/>
    </xf>
    <xf numFmtId="198" fontId="17" fillId="26" borderId="0" xfId="20" applyNumberFormat="1" applyAlignment="1">
      <alignment horizontal="right" vertical="center"/>
    </xf>
    <xf numFmtId="185" fontId="1" fillId="9" borderId="0" xfId="2" applyNumberFormat="1" applyFont="1" applyFill="1" applyAlignment="1">
      <alignment vertical="center"/>
    </xf>
    <xf numFmtId="3" fontId="60" fillId="0" borderId="0" xfId="0" applyNumberFormat="1" applyFont="1">
      <alignment vertical="center"/>
    </xf>
    <xf numFmtId="0" fontId="60" fillId="9" borderId="0" xfId="0" applyFont="1" applyFill="1" applyAlignment="1">
      <alignment horizontal="center" vertical="center"/>
    </xf>
    <xf numFmtId="0" fontId="60" fillId="9" borderId="11" xfId="0" applyFont="1" applyFill="1" applyBorder="1" applyAlignment="1">
      <alignment horizontal="center" vertical="center"/>
    </xf>
    <xf numFmtId="3" fontId="68" fillId="9" borderId="0" xfId="0" applyNumberFormat="1" applyFont="1" applyFill="1">
      <alignment vertical="center"/>
    </xf>
    <xf numFmtId="3" fontId="68" fillId="9" borderId="0" xfId="2" applyNumberFormat="1" applyFont="1" applyFill="1" applyBorder="1" applyAlignment="1">
      <alignment vertical="center"/>
    </xf>
    <xf numFmtId="3" fontId="71" fillId="7" borderId="0" xfId="2" applyNumberFormat="1" applyFont="1" applyFill="1" applyBorder="1" applyAlignment="1">
      <alignment vertical="center"/>
    </xf>
    <xf numFmtId="3" fontId="69" fillId="7" borderId="0" xfId="2" applyNumberFormat="1" applyFont="1" applyFill="1" applyBorder="1" applyAlignment="1">
      <alignment vertical="center"/>
    </xf>
    <xf numFmtId="0" fontId="60" fillId="9" borderId="0" xfId="0" applyFont="1" applyFill="1">
      <alignment vertical="center"/>
    </xf>
    <xf numFmtId="0" fontId="60" fillId="9" borderId="11" xfId="0" applyFont="1" applyFill="1" applyBorder="1">
      <alignment vertical="center"/>
    </xf>
    <xf numFmtId="0" fontId="1" fillId="9" borderId="0" xfId="0" applyFont="1" applyFill="1">
      <alignment vertical="center"/>
    </xf>
    <xf numFmtId="11" fontId="36" fillId="9" borderId="6" xfId="2" applyNumberFormat="1" applyFont="1" applyFill="1" applyBorder="1" applyAlignment="1">
      <alignment vertical="center"/>
    </xf>
    <xf numFmtId="184" fontId="6" fillId="0" borderId="0" xfId="2" applyNumberFormat="1" applyFont="1" applyFill="1" applyBorder="1" applyAlignment="1">
      <alignment vertical="center"/>
    </xf>
    <xf numFmtId="184" fontId="6" fillId="0" borderId="6" xfId="2" applyNumberFormat="1" applyFont="1" applyFill="1" applyBorder="1" applyAlignment="1">
      <alignment vertical="center"/>
    </xf>
    <xf numFmtId="11" fontId="56" fillId="9" borderId="6" xfId="2" applyNumberFormat="1" applyFont="1" applyFill="1" applyBorder="1" applyAlignment="1">
      <alignment vertical="center"/>
    </xf>
    <xf numFmtId="11" fontId="48" fillId="9" borderId="6" xfId="6" applyNumberFormat="1" applyFont="1" applyFill="1" applyBorder="1"/>
    <xf numFmtId="176" fontId="35" fillId="7" borderId="11" xfId="2" applyFont="1" applyFill="1" applyBorder="1" applyAlignment="1">
      <alignment vertical="center"/>
    </xf>
    <xf numFmtId="176" fontId="35" fillId="7" borderId="4" xfId="2" applyFont="1" applyFill="1" applyBorder="1" applyAlignment="1">
      <alignment vertical="center"/>
    </xf>
    <xf numFmtId="0" fontId="61" fillId="24" borderId="0" xfId="18" applyFont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 indent="1"/>
    </xf>
    <xf numFmtId="0" fontId="1" fillId="9" borderId="6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65" fillId="16" borderId="0" xfId="10">
      <alignment vertical="center"/>
    </xf>
    <xf numFmtId="2" fontId="65" fillId="16" borderId="0" xfId="10" applyNumberFormat="1" applyAlignment="1">
      <alignment horizontal="center" vertical="center"/>
    </xf>
    <xf numFmtId="3" fontId="65" fillId="16" borderId="0" xfId="10" applyNumberFormat="1" applyAlignment="1">
      <alignment vertical="center"/>
    </xf>
    <xf numFmtId="4" fontId="65" fillId="16" borderId="0" xfId="10" applyNumberFormat="1">
      <alignment vertical="center"/>
    </xf>
    <xf numFmtId="183" fontId="65" fillId="16" borderId="0" xfId="10" applyNumberFormat="1" applyAlignment="1">
      <alignment vertical="center"/>
    </xf>
    <xf numFmtId="0" fontId="17" fillId="15" borderId="0" xfId="14" applyFill="1" applyAlignment="1"/>
    <xf numFmtId="0" fontId="17" fillId="15" borderId="0" xfId="20" applyFill="1" applyAlignment="1"/>
    <xf numFmtId="3" fontId="65" fillId="15" borderId="0" xfId="10" applyNumberFormat="1" applyFill="1">
      <alignment vertical="center"/>
    </xf>
    <xf numFmtId="4" fontId="0" fillId="15" borderId="0" xfId="0" applyNumberFormat="1" applyFill="1">
      <alignment vertical="center"/>
    </xf>
    <xf numFmtId="11" fontId="17" fillId="15" borderId="0" xfId="14" applyNumberFormat="1" applyFill="1" applyAlignment="1"/>
    <xf numFmtId="0" fontId="65" fillId="15" borderId="0" xfId="10" applyFill="1" applyAlignment="1"/>
    <xf numFmtId="11" fontId="65" fillId="15" borderId="0" xfId="10" applyNumberFormat="1" applyFill="1" applyAlignment="1"/>
    <xf numFmtId="0" fontId="6" fillId="0" borderId="0" xfId="2" applyNumberFormat="1" applyFont="1" applyAlignment="1">
      <alignment vertical="center"/>
    </xf>
    <xf numFmtId="0" fontId="72" fillId="28" borderId="0" xfId="22">
      <alignment vertical="center"/>
    </xf>
    <xf numFmtId="176" fontId="35" fillId="15" borderId="11" xfId="2" applyFont="1" applyFill="1" applyBorder="1" applyAlignment="1">
      <alignment vertical="center"/>
    </xf>
    <xf numFmtId="176" fontId="35" fillId="15" borderId="4" xfId="2" applyFont="1" applyFill="1" applyBorder="1" applyAlignment="1">
      <alignment vertical="center"/>
    </xf>
    <xf numFmtId="0" fontId="73" fillId="0" borderId="0" xfId="0" applyFont="1">
      <alignment vertical="center"/>
    </xf>
    <xf numFmtId="199" fontId="0" fillId="0" borderId="0" xfId="0" applyNumberFormat="1">
      <alignment vertical="center"/>
    </xf>
    <xf numFmtId="200" fontId="0" fillId="0" borderId="0" xfId="0" applyNumberFormat="1">
      <alignment vertical="center"/>
    </xf>
    <xf numFmtId="201" fontId="6" fillId="0" borderId="0" xfId="0" applyNumberFormat="1" applyFont="1">
      <alignment vertical="center"/>
    </xf>
    <xf numFmtId="202" fontId="18" fillId="9" borderId="0" xfId="2" applyNumberFormat="1" applyFont="1" applyFill="1" applyBorder="1" applyAlignment="1">
      <alignment vertical="center"/>
    </xf>
    <xf numFmtId="202" fontId="6" fillId="9" borderId="0" xfId="2" applyNumberFormat="1" applyFont="1" applyFill="1" applyBorder="1" applyAlignment="1">
      <alignment vertical="center"/>
    </xf>
    <xf numFmtId="202" fontId="50" fillId="9" borderId="0" xfId="2" applyNumberFormat="1" applyFont="1" applyFill="1" applyBorder="1" applyAlignment="1">
      <alignment vertical="center"/>
    </xf>
    <xf numFmtId="202" fontId="50" fillId="9" borderId="6" xfId="2" applyNumberFormat="1" applyFont="1" applyFill="1" applyBorder="1" applyAlignment="1">
      <alignment vertical="center"/>
    </xf>
    <xf numFmtId="202" fontId="51" fillId="9" borderId="0" xfId="2" applyNumberFormat="1" applyFont="1" applyFill="1" applyBorder="1" applyAlignment="1">
      <alignment vertical="center"/>
    </xf>
    <xf numFmtId="202" fontId="51" fillId="9" borderId="6" xfId="2" applyNumberFormat="1" applyFont="1" applyFill="1" applyBorder="1" applyAlignment="1">
      <alignment vertical="center"/>
    </xf>
    <xf numFmtId="202" fontId="36" fillId="9" borderId="0" xfId="2" applyNumberFormat="1" applyFont="1" applyFill="1" applyBorder="1" applyAlignment="1">
      <alignment vertical="center"/>
    </xf>
    <xf numFmtId="202" fontId="36" fillId="9" borderId="6" xfId="2" applyNumberFormat="1" applyFont="1" applyFill="1" applyBorder="1" applyAlignment="1">
      <alignment vertical="center"/>
    </xf>
    <xf numFmtId="202" fontId="48" fillId="9" borderId="0" xfId="2" applyNumberFormat="1" applyFont="1" applyFill="1" applyBorder="1" applyAlignment="1">
      <alignment vertical="center"/>
    </xf>
    <xf numFmtId="202" fontId="48" fillId="9" borderId="6" xfId="2" applyNumberFormat="1" applyFont="1" applyFill="1" applyBorder="1" applyAlignment="1">
      <alignment vertical="center"/>
    </xf>
    <xf numFmtId="202" fontId="6" fillId="0" borderId="0" xfId="2" applyNumberFormat="1" applyFont="1" applyFill="1" applyBorder="1" applyAlignment="1">
      <alignment vertical="center"/>
    </xf>
    <xf numFmtId="202" fontId="6" fillId="0" borderId="6" xfId="2" applyNumberFormat="1" applyFont="1" applyFill="1" applyBorder="1" applyAlignment="1">
      <alignment vertical="center"/>
    </xf>
    <xf numFmtId="202" fontId="45" fillId="9" borderId="0" xfId="2" applyNumberFormat="1" applyFont="1" applyFill="1" applyBorder="1" applyAlignment="1">
      <alignment vertical="center"/>
    </xf>
    <xf numFmtId="202" fontId="45" fillId="9" borderId="6" xfId="2" applyNumberFormat="1" applyFont="1" applyFill="1" applyBorder="1" applyAlignment="1">
      <alignment vertical="center"/>
    </xf>
    <xf numFmtId="202" fontId="6" fillId="9" borderId="6" xfId="2" applyNumberFormat="1" applyFont="1" applyFill="1" applyBorder="1" applyAlignment="1">
      <alignment vertical="center"/>
    </xf>
    <xf numFmtId="202" fontId="56" fillId="9" borderId="0" xfId="2" applyNumberFormat="1" applyFont="1" applyFill="1" applyBorder="1" applyAlignment="1">
      <alignment vertical="center"/>
    </xf>
    <xf numFmtId="202" fontId="56" fillId="9" borderId="6" xfId="2" applyNumberFormat="1" applyFont="1" applyFill="1" applyBorder="1" applyAlignment="1">
      <alignment vertical="center"/>
    </xf>
    <xf numFmtId="202" fontId="48" fillId="9" borderId="0" xfId="6" applyNumberFormat="1" applyFont="1" applyFill="1" applyBorder="1"/>
    <xf numFmtId="202" fontId="48" fillId="9" borderId="6" xfId="6" applyNumberFormat="1" applyFont="1" applyFill="1" applyBorder="1"/>
    <xf numFmtId="202" fontId="48" fillId="7" borderId="0" xfId="2" applyNumberFormat="1" applyFont="1" applyFill="1" applyBorder="1" applyAlignment="1">
      <alignment vertical="center"/>
    </xf>
    <xf numFmtId="202" fontId="50" fillId="7" borderId="0" xfId="2" applyNumberFormat="1" applyFont="1" applyFill="1" applyBorder="1" applyAlignment="1">
      <alignment vertical="center"/>
    </xf>
    <xf numFmtId="202" fontId="50" fillId="7" borderId="6" xfId="2" applyNumberFormat="1" applyFont="1" applyFill="1" applyBorder="1" applyAlignment="1">
      <alignment vertical="center"/>
    </xf>
    <xf numFmtId="202" fontId="48" fillId="7" borderId="6" xfId="2" applyNumberFormat="1" applyFont="1" applyFill="1" applyBorder="1" applyAlignment="1">
      <alignment vertical="center"/>
    </xf>
    <xf numFmtId="4" fontId="74" fillId="0" borderId="0" xfId="0" applyNumberFormat="1" applyFont="1">
      <alignment vertical="center"/>
    </xf>
    <xf numFmtId="203" fontId="6" fillId="0" borderId="0" xfId="0" applyNumberFormat="1" applyFont="1">
      <alignment vertical="center"/>
    </xf>
    <xf numFmtId="176" fontId="0" fillId="0" borderId="0" xfId="0" applyNumberFormat="1" applyAlignment="1"/>
    <xf numFmtId="204" fontId="6" fillId="0" borderId="0" xfId="0" applyNumberFormat="1" applyFont="1">
      <alignment vertical="center"/>
    </xf>
    <xf numFmtId="201" fontId="69" fillId="9" borderId="0" xfId="2" applyNumberFormat="1" applyFont="1" applyFill="1" applyBorder="1" applyAlignment="1">
      <alignment vertical="center"/>
    </xf>
    <xf numFmtId="201" fontId="70" fillId="9" borderId="0" xfId="2" applyNumberFormat="1" applyFont="1" applyFill="1" applyBorder="1" applyAlignment="1">
      <alignment vertical="center"/>
    </xf>
    <xf numFmtId="201" fontId="71" fillId="9" borderId="0" xfId="2" applyNumberFormat="1" applyFont="1" applyFill="1" applyBorder="1" applyAlignment="1">
      <alignment vertical="center"/>
    </xf>
    <xf numFmtId="201" fontId="18" fillId="9" borderId="0" xfId="2" applyNumberFormat="1" applyFont="1" applyFill="1" applyBorder="1" applyAlignment="1">
      <alignment vertical="center"/>
    </xf>
    <xf numFmtId="201" fontId="71" fillId="9" borderId="0" xfId="6" applyNumberFormat="1" applyFont="1" applyFill="1" applyBorder="1"/>
    <xf numFmtId="0" fontId="1" fillId="9" borderId="5" xfId="0" applyFont="1" applyFill="1" applyBorder="1" applyAlignment="1">
      <alignment horizontal="left" vertical="center" indent="1"/>
    </xf>
    <xf numFmtId="202" fontId="0" fillId="0" borderId="0" xfId="0" applyNumberFormat="1">
      <alignment vertical="center"/>
    </xf>
    <xf numFmtId="202" fontId="18" fillId="0" borderId="0" xfId="0" applyNumberFormat="1" applyFont="1">
      <alignment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horizontal="center" vertical="center"/>
    </xf>
    <xf numFmtId="0" fontId="29" fillId="8" borderId="2" xfId="0" applyFont="1" applyFill="1" applyBorder="1" applyAlignment="1">
      <alignment horizontal="center" vertical="center"/>
    </xf>
    <xf numFmtId="0" fontId="28" fillId="3" borderId="12" xfId="0" applyFont="1" applyFill="1" applyBorder="1" applyAlignment="1">
      <alignment horizontal="center" vertical="center"/>
    </xf>
    <xf numFmtId="0" fontId="28" fillId="3" borderId="13" xfId="0" applyFont="1" applyFill="1" applyBorder="1" applyAlignment="1">
      <alignment horizontal="center" vertical="center"/>
    </xf>
    <xf numFmtId="0" fontId="28" fillId="3" borderId="14" xfId="0" applyFont="1" applyFill="1" applyBorder="1" applyAlignment="1">
      <alignment horizontal="center" vertical="center"/>
    </xf>
    <xf numFmtId="0" fontId="28" fillId="5" borderId="12" xfId="0" applyFont="1" applyFill="1" applyBorder="1" applyAlignment="1">
      <alignment horizontal="center" vertical="center"/>
    </xf>
    <xf numFmtId="0" fontId="28" fillId="5" borderId="13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center"/>
    </xf>
    <xf numFmtId="0" fontId="32" fillId="3" borderId="12" xfId="0" applyFont="1" applyFill="1" applyBorder="1" applyAlignment="1">
      <alignment horizontal="center" vertical="center"/>
    </xf>
    <xf numFmtId="0" fontId="32" fillId="3" borderId="13" xfId="0" applyFont="1" applyFill="1" applyBorder="1" applyAlignment="1">
      <alignment horizontal="center" vertical="center"/>
    </xf>
    <xf numFmtId="0" fontId="32" fillId="3" borderId="14" xfId="0" applyFont="1" applyFill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/>
    </xf>
    <xf numFmtId="0" fontId="28" fillId="6" borderId="13" xfId="0" applyFont="1" applyFill="1" applyBorder="1" applyAlignment="1">
      <alignment horizontal="center" vertical="center"/>
    </xf>
    <xf numFmtId="0" fontId="28" fillId="6" borderId="1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185" fontId="18" fillId="10" borderId="12" xfId="2" applyNumberFormat="1" applyFont="1" applyFill="1" applyBorder="1" applyAlignment="1">
      <alignment horizontal="center" vertical="center"/>
    </xf>
    <xf numFmtId="185" fontId="18" fillId="10" borderId="13" xfId="2" applyNumberFormat="1" applyFont="1" applyFill="1" applyBorder="1" applyAlignment="1">
      <alignment horizontal="center" vertical="center"/>
    </xf>
    <xf numFmtId="185" fontId="18" fillId="10" borderId="14" xfId="2" applyNumberFormat="1" applyFont="1" applyFill="1" applyBorder="1" applyAlignment="1">
      <alignment horizontal="center" vertical="center"/>
    </xf>
    <xf numFmtId="0" fontId="28" fillId="8" borderId="12" xfId="0" applyFont="1" applyFill="1" applyBorder="1" applyAlignment="1">
      <alignment horizontal="center" vertical="center"/>
    </xf>
    <xf numFmtId="0" fontId="28" fillId="8" borderId="13" xfId="0" applyFont="1" applyFill="1" applyBorder="1" applyAlignment="1">
      <alignment horizontal="center" vertical="center"/>
    </xf>
    <xf numFmtId="0" fontId="28" fillId="8" borderId="14" xfId="0" applyFont="1" applyFill="1" applyBorder="1" applyAlignment="1">
      <alignment horizontal="center" vertical="center"/>
    </xf>
    <xf numFmtId="49" fontId="24" fillId="0" borderId="12" xfId="0" applyNumberFormat="1" applyFont="1" applyBorder="1" applyAlignment="1">
      <alignment horizontal="center"/>
    </xf>
    <xf numFmtId="49" fontId="24" fillId="0" borderId="13" xfId="0" applyNumberFormat="1" applyFont="1" applyBorder="1" applyAlignment="1">
      <alignment horizontal="center"/>
    </xf>
    <xf numFmtId="49" fontId="24" fillId="0" borderId="14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 wrapText="1"/>
    </xf>
    <xf numFmtId="0" fontId="18" fillId="6" borderId="13" xfId="0" applyFont="1" applyFill="1" applyBorder="1" applyAlignment="1">
      <alignment horizontal="center" vertical="center"/>
    </xf>
    <xf numFmtId="0" fontId="18" fillId="6" borderId="14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</cellXfs>
  <cellStyles count="23">
    <cellStyle name="20% - 강조색1" xfId="14" builtinId="30"/>
    <cellStyle name="20% - 강조색4" xfId="19" builtinId="42"/>
    <cellStyle name="20% - 강조색5" xfId="11" builtinId="46"/>
    <cellStyle name="20% - 강조색6" xfId="20" builtinId="50"/>
    <cellStyle name="40% - 강조색2" xfId="16" builtinId="35"/>
    <cellStyle name="60% - 강조색1" xfId="15" builtinId="32"/>
    <cellStyle name="60% - 강조색2" xfId="17" builtinId="36"/>
    <cellStyle name="60% - 강조색3" xfId="18" builtinId="40"/>
    <cellStyle name="60% - 강조색6" xfId="21" builtinId="52"/>
    <cellStyle name="Comma 2" xfId="6" xr:uid="{3892FBED-B202-49C8-98E2-5AC41469E8F6}"/>
    <cellStyle name="Comma 3" xfId="8" xr:uid="{E21B2A7B-1626-44A4-8F4A-A575D502CD86}"/>
    <cellStyle name="Normal 2" xfId="5" xr:uid="{CD6BCE90-D4A1-47C1-B72E-4CA574F222E0}"/>
    <cellStyle name="Normal 3" xfId="7" xr:uid="{877BAA99-DB0F-4D8E-A22E-85C6FC1DBF3C}"/>
    <cellStyle name="나쁨" xfId="10" builtinId="27"/>
    <cellStyle name="메모" xfId="13" builtinId="10"/>
    <cellStyle name="백분율" xfId="1" builtinId="5"/>
    <cellStyle name="보통" xfId="22" builtinId="28"/>
    <cellStyle name="쉼표" xfId="2" builtinId="3"/>
    <cellStyle name="쉼표 [0]" xfId="9" builtinId="6"/>
    <cellStyle name="좋음" xfId="12" builtinId="26"/>
    <cellStyle name="표준" xfId="0" builtinId="0"/>
    <cellStyle name="표준 2" xfId="4" xr:uid="{00000000-0005-0000-0000-000004000000}"/>
    <cellStyle name="하이퍼링크" xfId="3" builtinId="8"/>
  </cellStyles>
  <dxfs count="0"/>
  <tableStyles count="0" defaultTableStyle="TableStyleMedium2" defaultPivotStyle="PivotStyleLight16"/>
  <colors>
    <mruColors>
      <color rgb="FF996633"/>
      <color rgb="FF6600CC"/>
      <color rgb="FF9966FF"/>
      <color rgb="FFF18799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3.xml"/><Relationship Id="rId1" Type="http://schemas.microsoft.com/office/2011/relationships/chartStyle" Target="style23.xml"/><Relationship Id="rId4" Type="http://schemas.openxmlformats.org/officeDocument/2006/relationships/chartUserShapes" Target="../drawings/drawing10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4.xml"/><Relationship Id="rId1" Type="http://schemas.microsoft.com/office/2011/relationships/chartStyle" Target="style24.xml"/><Relationship Id="rId4" Type="http://schemas.openxmlformats.org/officeDocument/2006/relationships/chartUserShapes" Target="../drawings/drawing11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5.xml"/><Relationship Id="rId1" Type="http://schemas.microsoft.com/office/2011/relationships/chartStyle" Target="style25.xml"/><Relationship Id="rId4" Type="http://schemas.openxmlformats.org/officeDocument/2006/relationships/chartUserShapes" Target="../drawings/drawing12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6.xml"/><Relationship Id="rId1" Type="http://schemas.microsoft.com/office/2011/relationships/chartStyle" Target="style26.xml"/><Relationship Id="rId4" Type="http://schemas.openxmlformats.org/officeDocument/2006/relationships/chartUserShapes" Target="../drawings/drawing13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7.xml"/><Relationship Id="rId1" Type="http://schemas.microsoft.com/office/2011/relationships/chartStyle" Target="style27.xml"/><Relationship Id="rId4" Type="http://schemas.openxmlformats.org/officeDocument/2006/relationships/chartUserShapes" Target="../drawings/drawing14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8.xml"/><Relationship Id="rId1" Type="http://schemas.microsoft.com/office/2011/relationships/chartStyle" Target="style28.xml"/><Relationship Id="rId4" Type="http://schemas.openxmlformats.org/officeDocument/2006/relationships/chartUserShapes" Target="../drawings/drawing15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9.xml"/><Relationship Id="rId1" Type="http://schemas.microsoft.com/office/2011/relationships/chartStyle" Target="style29.xml"/><Relationship Id="rId4" Type="http://schemas.openxmlformats.org/officeDocument/2006/relationships/chartUserShapes" Target="../drawings/drawing16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3013554985739434"/>
          <c:y val="3.7932946620058881E-2"/>
          <c:w val="0.73488594176942179"/>
          <c:h val="0.64775363408046227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'3. UPC &amp; MSP (fixed)'!$B$64</c:f>
              <c:strCache>
                <c:ptCount val="1"/>
                <c:pt idx="0">
                  <c:v>Total production cost ($/y)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(fixed)'!$E$99:$I$99</c:f>
              <c:numCache>
                <c:formatCode>#,##0</c:formatCode>
                <c:ptCount val="5"/>
                <c:pt idx="0">
                  <c:v>1474990833.5995262</c:v>
                </c:pt>
                <c:pt idx="1">
                  <c:v>1778738749.0754175</c:v>
                </c:pt>
                <c:pt idx="2">
                  <c:v>1400781518.6725161</c:v>
                </c:pt>
                <c:pt idx="3">
                  <c:v>1179769563.3193183</c:v>
                </c:pt>
                <c:pt idx="4">
                  <c:v>1015899024.8312377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E-4C8C-B0B2-30B4949E46EB}"/>
            </c:ext>
          </c:extLst>
        </c:ser>
        <c:ser>
          <c:idx val="1"/>
          <c:order val="2"/>
          <c:tx>
            <c:strRef>
              <c:f>'3. UPC &amp; MSP (fixed)'!$D$101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(fixed)'!$E$101:$I$101</c:f>
              <c:numCache>
                <c:formatCode>_(* #,##0_);_(* \(#,##0\);_(* "-"??_);_(@_)</c:formatCode>
                <c:ptCount val="5"/>
                <c:pt idx="0">
                  <c:v>-498950423.14199013</c:v>
                </c:pt>
                <c:pt idx="1">
                  <c:v>-391262606.63544977</c:v>
                </c:pt>
                <c:pt idx="2">
                  <c:v>-417552755.28471684</c:v>
                </c:pt>
                <c:pt idx="3">
                  <c:v>-428681322.66709733</c:v>
                </c:pt>
                <c:pt idx="4">
                  <c:v>-441818803.71908283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8E-4C8C-B0B2-30B4949E46EB}"/>
            </c:ext>
          </c:extLst>
        </c:ser>
        <c:ser>
          <c:idx val="2"/>
          <c:order val="3"/>
          <c:tx>
            <c:strRef>
              <c:f>'3. UPC &amp; MSP (fixed)'!$D$102</c:f>
              <c:strCache>
                <c:ptCount val="1"/>
                <c:pt idx="0">
                  <c:v>Raw Naphthalene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(fixed)'!$E$102:$I$102</c:f>
              <c:numCache>
                <c:formatCode>_(* #,##0_);_(* \(#,##0\);_(* "-"??_);_(@_)</c:formatCode>
                <c:ptCount val="5"/>
                <c:pt idx="0">
                  <c:v>-16633321.751775734</c:v>
                </c:pt>
                <c:pt idx="1">
                  <c:v>-6149555.850917113</c:v>
                </c:pt>
                <c:pt idx="2">
                  <c:v>-10270898.182717923</c:v>
                </c:pt>
                <c:pt idx="3">
                  <c:v>-15892269.166859711</c:v>
                </c:pt>
                <c:pt idx="4">
                  <c:v>-22849334.282164499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8E-4C8C-B0B2-30B4949E46EB}"/>
            </c:ext>
          </c:extLst>
        </c:ser>
        <c:ser>
          <c:idx val="0"/>
          <c:order val="4"/>
          <c:tx>
            <c:strRef>
              <c:f>'3. UPC &amp; MSP (fixed)'!$D$103</c:f>
              <c:strCache>
                <c:ptCount val="1"/>
                <c:pt idx="0">
                  <c:v>Benzene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'3. UPC &amp; MSP (fixed)'!$E$103:$I$103</c:f>
              <c:numCache>
                <c:formatCode>_(* #,##0_);_(* \(#,##0\);_(* "-"??_);_(@_)</c:formatCode>
                <c:ptCount val="5"/>
                <c:pt idx="0">
                  <c:v>-57234671.314766191</c:v>
                </c:pt>
                <c:pt idx="1">
                  <c:v>-65981797.270155348</c:v>
                </c:pt>
                <c:pt idx="2">
                  <c:v>-88787903.393971413</c:v>
                </c:pt>
                <c:pt idx="3">
                  <c:v>-117052719.2156772</c:v>
                </c:pt>
                <c:pt idx="4">
                  <c:v>-146667912.12985632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8E-4C8C-B0B2-30B4949E46EB}"/>
            </c:ext>
          </c:extLst>
        </c:ser>
        <c:ser>
          <c:idx val="5"/>
          <c:order val="5"/>
          <c:tx>
            <c:strRef>
              <c:f>'3. UPC &amp; MSP (fixed)'!$D$104</c:f>
              <c:strCache>
                <c:ptCount val="1"/>
                <c:pt idx="0">
                  <c:v>C2-C5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 UPC &amp; MSP (fixed)'!$E$98:$I$98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(fixed)'!$E$104:$I$104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-18492064.115732126</c:v>
                </c:pt>
                <c:pt idx="2">
                  <c:v>-14365132.828600161</c:v>
                </c:pt>
                <c:pt idx="3">
                  <c:v>-12857626.336861549</c:v>
                </c:pt>
                <c:pt idx="4">
                  <c:v>-13902896.603516912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8E-4C8C-B0B2-30B4949E46EB}"/>
            </c:ext>
          </c:extLst>
        </c:ser>
        <c:ser>
          <c:idx val="6"/>
          <c:order val="6"/>
          <c:tx>
            <c:strRef>
              <c:f>'3. UPC &amp; MSP (fixed)'!$D$105</c:f>
              <c:strCache>
                <c:ptCount val="1"/>
                <c:pt idx="0">
                  <c:v>Raw Acethylene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'3. UPC &amp; MSP (fixed)'!$E$98:$I$98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(fixed)'!$E$105:$I$105</c:f>
              <c:numCache>
                <c:formatCode>_(* #,##0_);_(* \(#,##0\);_(* "-"??_);_(@_)</c:formatCode>
                <c:ptCount val="5"/>
                <c:pt idx="0">
                  <c:v>-351575280.12448704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8E-4C8C-B0B2-30B4949E4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48495808"/>
        <c:axId val="548484992"/>
      </c:barChart>
      <c:barChart>
        <c:barDir val="col"/>
        <c:grouping val="stacked"/>
        <c:varyColors val="0"/>
        <c:ser>
          <c:idx val="4"/>
          <c:order val="1"/>
          <c:tx>
            <c:strRef>
              <c:f>'3. UPC &amp; MSP (fixed)'!$D$100</c:f>
              <c:strCache>
                <c:ptCount val="1"/>
                <c:pt idx="0">
                  <c:v>Ethylene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'3. UPC &amp; MSP (fixed)'!$E$98:$I$98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(fixed)'!$E$100:$I$100</c:f>
              <c:numCache>
                <c:formatCode>#,##0</c:formatCode>
                <c:ptCount val="5"/>
                <c:pt idx="0">
                  <c:v>550597137.26650703</c:v>
                </c:pt>
                <c:pt idx="1">
                  <c:v>1296852725.2031631</c:v>
                </c:pt>
                <c:pt idx="2">
                  <c:v>869804828.98250973</c:v>
                </c:pt>
                <c:pt idx="3">
                  <c:v>605285625.93282259</c:v>
                </c:pt>
                <c:pt idx="4">
                  <c:v>390660078.0966171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8E-4C8C-B0B2-30B4949E4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100"/>
        <c:axId val="254028384"/>
        <c:axId val="254034208"/>
      </c:barChart>
      <c:catAx>
        <c:axId val="54849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84992"/>
        <c:crosses val="autoZero"/>
        <c:auto val="1"/>
        <c:lblAlgn val="ctr"/>
        <c:lblOffset val="100"/>
        <c:noMultiLvlLbl val="0"/>
      </c:catAx>
      <c:valAx>
        <c:axId val="548484992"/>
        <c:scaling>
          <c:orientation val="minMax"/>
          <c:max val="2000000000"/>
          <c:min val="-1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dirty="0"/>
                  <a:t>Production cost (MM$)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95808"/>
        <c:crosses val="autoZero"/>
        <c:crossBetween val="between"/>
        <c:majorUnit val="500000000"/>
        <c:dispUnits>
          <c:builtInUnit val="millions"/>
        </c:dispUnits>
      </c:valAx>
      <c:valAx>
        <c:axId val="254034208"/>
        <c:scaling>
          <c:orientation val="minMax"/>
          <c:max val="2000000000"/>
          <c:min val="-1000000000"/>
        </c:scaling>
        <c:delete val="1"/>
        <c:axPos val="r"/>
        <c:numFmt formatCode="#,##0" sourceLinked="1"/>
        <c:majorTickMark val="out"/>
        <c:minorTickMark val="none"/>
        <c:tickLblPos val="nextTo"/>
        <c:crossAx val="254028384"/>
        <c:crosses val="max"/>
        <c:crossBetween val="between"/>
      </c:valAx>
      <c:catAx>
        <c:axId val="254028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54034208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1187964789136182"/>
          <c:y val="0.8011690035970368"/>
          <c:w val="0.87218021768800824"/>
          <c:h val="0.17171665932913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3013554985739434"/>
          <c:y val="3.7932946620058881E-2"/>
          <c:w val="0.73488594176942179"/>
          <c:h val="0.64775363408046227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'3. UPC &amp; MSP (fixed)'!$D$109</c:f>
              <c:strCache>
                <c:ptCount val="1"/>
                <c:pt idx="0">
                  <c:v>Annualized capital cost</c:v>
                </c:pt>
              </c:strCache>
            </c:strRef>
          </c:tx>
          <c:spPr>
            <a:solidFill>
              <a:srgbClr val="A5B592">
                <a:lumMod val="75000"/>
              </a:srgbClr>
            </a:solidFill>
            <a:ln>
              <a:noFill/>
            </a:ln>
            <a:effectLst/>
          </c:spPr>
          <c:invertIfNegative val="0"/>
          <c:cat>
            <c:strRef>
              <c:f>'3. UPC &amp; MSP (fixed)'!$E$108:$I$108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(fixed)'!$E$109:$I$109</c:f>
              <c:numCache>
                <c:formatCode>#,##0.00</c:formatCode>
                <c:ptCount val="5"/>
                <c:pt idx="0">
                  <c:v>0.1722686614526035</c:v>
                </c:pt>
                <c:pt idx="1">
                  <c:v>0.20109513675825069</c:v>
                </c:pt>
                <c:pt idx="2">
                  <c:v>0.13166590510724394</c:v>
                </c:pt>
                <c:pt idx="3">
                  <c:v>9.750107723472852E-2</c:v>
                </c:pt>
                <c:pt idx="4">
                  <c:v>7.1511549608191699E-2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1-49D7-B151-B14ECF71E42F}"/>
            </c:ext>
          </c:extLst>
        </c:ser>
        <c:ser>
          <c:idx val="1"/>
          <c:order val="1"/>
          <c:tx>
            <c:strRef>
              <c:f>'3. UPC &amp; MSP (fixed)'!$D$110</c:f>
              <c:strCache>
                <c:ptCount val="1"/>
                <c:pt idx="0">
                  <c:v>Raw material</c:v>
                </c:pt>
              </c:strCache>
            </c:strRef>
          </c:tx>
          <c:spPr>
            <a:solidFill>
              <a:srgbClr val="A5B59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(fixed)'!$E$108:$I$108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(fixed)'!$E$110:$I$110</c:f>
              <c:numCache>
                <c:formatCode>#,##0.00</c:formatCode>
                <c:ptCount val="5"/>
                <c:pt idx="0">
                  <c:v>0.23233016619264482</c:v>
                </c:pt>
                <c:pt idx="1">
                  <c:v>0.22161587363263863</c:v>
                </c:pt>
                <c:pt idx="2">
                  <c:v>0.19755683334648511</c:v>
                </c:pt>
                <c:pt idx="3">
                  <c:v>0.16842421192094459</c:v>
                </c:pt>
                <c:pt idx="4">
                  <c:v>0.13614520620375997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91-49D7-B151-B14ECF71E42F}"/>
            </c:ext>
          </c:extLst>
        </c:ser>
        <c:ser>
          <c:idx val="2"/>
          <c:order val="2"/>
          <c:tx>
            <c:strRef>
              <c:f>'3. UPC &amp; MSP (fixed)'!$D$111</c:f>
              <c:strCache>
                <c:ptCount val="1"/>
                <c:pt idx="0">
                  <c:v>Utility</c:v>
                </c:pt>
              </c:strCache>
            </c:strRef>
          </c:tx>
          <c:spPr>
            <a:solidFill>
              <a:srgbClr val="A5B592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(fixed)'!$E$108:$I$108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(fixed)'!$E$111:$I$111</c:f>
              <c:numCache>
                <c:formatCode>#,##0.00</c:formatCode>
                <c:ptCount val="5"/>
                <c:pt idx="0">
                  <c:v>0.71838684601921843</c:v>
                </c:pt>
                <c:pt idx="1">
                  <c:v>0.86913370089039554</c:v>
                </c:pt>
                <c:pt idx="2">
                  <c:v>0.57790044900915505</c:v>
                </c:pt>
                <c:pt idx="3">
                  <c:v>0.38519396316419285</c:v>
                </c:pt>
                <c:pt idx="4">
                  <c:v>0.24535000431574067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91-49D7-B151-B14ECF71E42F}"/>
            </c:ext>
          </c:extLst>
        </c:ser>
        <c:ser>
          <c:idx val="0"/>
          <c:order val="3"/>
          <c:tx>
            <c:strRef>
              <c:f>'3. UPC &amp; MSP (fixed)'!$D$112</c:f>
              <c:strCache>
                <c:ptCount val="1"/>
                <c:pt idx="0">
                  <c:v>Fixed operating cost</c:v>
                </c:pt>
              </c:strCache>
            </c:strRef>
          </c:tx>
          <c:spPr>
            <a:solidFill>
              <a:srgbClr val="A5B592">
                <a:lumMod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'3. UPC &amp; MSP (fixed)'!$E$108:$I$108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(fixed)'!$E$112:$I$112</c:f>
              <c:numCache>
                <c:formatCode>#,##0.00</c:formatCode>
                <c:ptCount val="5"/>
                <c:pt idx="0">
                  <c:v>7.7401443083982835E-3</c:v>
                </c:pt>
                <c:pt idx="1">
                  <c:v>8.8501201228573401E-3</c:v>
                </c:pt>
                <c:pt idx="2">
                  <c:v>5.9904803900199706E-3</c:v>
                </c:pt>
                <c:pt idx="3">
                  <c:v>4.5187157945102098E-3</c:v>
                </c:pt>
                <c:pt idx="4">
                  <c:v>3.3613418089369186E-3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91-49D7-B151-B14ECF71E42F}"/>
            </c:ext>
          </c:extLst>
        </c:ser>
        <c:ser>
          <c:idx val="5"/>
          <c:order val="4"/>
          <c:tx>
            <c:strRef>
              <c:f>'3. UPC &amp; MSP (fixed)'!$D$113</c:f>
              <c:strCache>
                <c:ptCount val="1"/>
                <c:pt idx="0">
                  <c:v>Credit_Hydrogen</c:v>
                </c:pt>
              </c:strCache>
            </c:strRef>
          </c:tx>
          <c:spPr>
            <a:solidFill>
              <a:srgbClr val="F3A4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(fixed)'!$E$108:$I$108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(fixed)'!$E$113:$I$113</c:f>
              <c:numCache>
                <c:formatCode>#,##0.00</c:formatCode>
                <c:ptCount val="5"/>
                <c:pt idx="0">
                  <c:v>-0.38249466537926508</c:v>
                </c:pt>
                <c:pt idx="1">
                  <c:v>-0.28610904801898146</c:v>
                </c:pt>
                <c:pt idx="2">
                  <c:v>-0.27218600675245658</c:v>
                </c:pt>
                <c:pt idx="3">
                  <c:v>-0.23823275332791988</c:v>
                </c:pt>
                <c:pt idx="4">
                  <c:v>-0.19847642720858535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91-49D7-B151-B14ECF71E42F}"/>
            </c:ext>
          </c:extLst>
        </c:ser>
        <c:ser>
          <c:idx val="6"/>
          <c:order val="5"/>
          <c:tx>
            <c:strRef>
              <c:f>'3. UPC &amp; MSP (fixed)'!$D$114</c:f>
              <c:strCache>
                <c:ptCount val="1"/>
                <c:pt idx="0">
                  <c:v>Credit_Raw Naphthalene</c:v>
                </c:pt>
              </c:strCache>
            </c:strRef>
          </c:tx>
          <c:spPr>
            <a:solidFill>
              <a:srgbClr val="E7BC29"/>
            </a:solidFill>
            <a:ln>
              <a:noFill/>
            </a:ln>
            <a:effectLst/>
          </c:spPr>
          <c:invertIfNegative val="0"/>
          <c:cat>
            <c:strRef>
              <c:f>'3. UPC &amp; MSP (fixed)'!$E$108:$I$108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(fixed)'!$E$114:$I$114</c:f>
              <c:numCache>
                <c:formatCode>#,##0.00</c:formatCode>
                <c:ptCount val="5"/>
                <c:pt idx="0">
                  <c:v>-1.2751080152467538E-2</c:v>
                </c:pt>
                <c:pt idx="1">
                  <c:v>-4.4968354767537886E-3</c:v>
                </c:pt>
                <c:pt idx="2">
                  <c:v>-6.6951893544776667E-3</c:v>
                </c:pt>
                <c:pt idx="3">
                  <c:v>-8.8318730955991524E-3</c:v>
                </c:pt>
                <c:pt idx="4">
                  <c:v>-1.0264511592182331E-2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91-49D7-B151-B14ECF71E42F}"/>
            </c:ext>
          </c:extLst>
        </c:ser>
        <c:ser>
          <c:idx val="4"/>
          <c:order val="6"/>
          <c:tx>
            <c:strRef>
              <c:f>'3. UPC &amp; MSP (fixed)'!$D$115</c:f>
              <c:strCache>
                <c:ptCount val="1"/>
                <c:pt idx="0">
                  <c:v>Credit_Benzene</c:v>
                </c:pt>
              </c:strCache>
            </c:strRef>
          </c:tx>
          <c:spPr>
            <a:solidFill>
              <a:srgbClr val="D092A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(fixed)'!$E$108:$I$108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(fixed)'!$E$115:$I$115</c:f>
              <c:numCache>
                <c:formatCode>#,##0.00</c:formatCode>
                <c:ptCount val="5"/>
                <c:pt idx="0">
                  <c:v>-4.3876015406051183E-2</c:v>
                </c:pt>
                <c:pt idx="1">
                  <c:v>-4.8248896989879546E-2</c:v>
                </c:pt>
                <c:pt idx="2">
                  <c:v>-5.7877297100456984E-2</c:v>
                </c:pt>
                <c:pt idx="3">
                  <c:v>-6.5050166892682809E-2</c:v>
                </c:pt>
                <c:pt idx="4">
                  <c:v>-6.5887017348825683E-2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91-49D7-B151-B14ECF71E42F}"/>
            </c:ext>
          </c:extLst>
        </c:ser>
        <c:ser>
          <c:idx val="7"/>
          <c:order val="7"/>
          <c:tx>
            <c:strRef>
              <c:f>'3. UPC &amp; MSP (fixed)'!$D$116</c:f>
              <c:strCache>
                <c:ptCount val="1"/>
                <c:pt idx="0">
                  <c:v>Credit_C2-C5</c:v>
                </c:pt>
              </c:strCache>
            </c:strRef>
          </c:tx>
          <c:spPr>
            <a:solidFill>
              <a:srgbClr val="9C85C0"/>
            </a:solidFill>
            <a:ln>
              <a:noFill/>
            </a:ln>
            <a:effectLst/>
          </c:spPr>
          <c:invertIfNegative val="0"/>
          <c:cat>
            <c:strRef>
              <c:f>'3. UPC &amp; MSP (fixed)'!$E$108:$I$108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(fixed)'!$E$116:$I$116</c:f>
              <c:numCache>
                <c:formatCode>#,##0.00</c:formatCode>
                <c:ptCount val="5"/>
                <c:pt idx="0">
                  <c:v>0</c:v>
                </c:pt>
                <c:pt idx="1">
                  <c:v>-1.35222399747176E-2</c:v>
                </c:pt>
                <c:pt idx="2">
                  <c:v>-9.3640578144890789E-3</c:v>
                </c:pt>
                <c:pt idx="3">
                  <c:v>-7.1454191296102549E-3</c:v>
                </c:pt>
                <c:pt idx="4">
                  <c:v>-6.245540530391034E-3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91-49D7-B151-B14ECF71E42F}"/>
            </c:ext>
          </c:extLst>
        </c:ser>
        <c:ser>
          <c:idx val="8"/>
          <c:order val="8"/>
          <c:tx>
            <c:strRef>
              <c:f>'3. UPC &amp; MSP (fixed)'!$D$117</c:f>
              <c:strCache>
                <c:ptCount val="1"/>
                <c:pt idx="0">
                  <c:v>Credit_Raw Acethylene</c:v>
                </c:pt>
              </c:strCache>
            </c:strRef>
          </c:tx>
          <c:spPr>
            <a:solidFill>
              <a:srgbClr val="809EC2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F91-49D7-B151-B14ECF71E42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F91-49D7-B151-B14ECF71E42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F91-49D7-B151-B14ECF71E42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F91-49D7-B151-B14ECF71E4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(fixed)'!$E$108:$I$108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(fixed)'!$E$117:$I$117</c:f>
              <c:numCache>
                <c:formatCode>#,##0.00</c:formatCode>
                <c:ptCount val="5"/>
                <c:pt idx="0">
                  <c:v>-0.26951709606741486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F91-49D7-B151-B14ECF71E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48495808"/>
        <c:axId val="548484992"/>
      </c:barChart>
      <c:scatterChart>
        <c:scatterStyle val="lineMarker"/>
        <c:varyColors val="0"/>
        <c:ser>
          <c:idx val="9"/>
          <c:order val="9"/>
          <c:tx>
            <c:strRef>
              <c:f>'3. UPC &amp; MSP (fixed)'!$B$71</c:f>
              <c:strCache>
                <c:ptCount val="1"/>
                <c:pt idx="0">
                  <c:v>UPC_Ethylene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6.7468960642542986E-2"/>
                  <c:y val="-3.45422862075142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F91-49D7-B151-B14ECF71E4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'3. UPC &amp; MSP (fixed)'!$E$108:$I$108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xVal>
          <c:yVal>
            <c:numRef>
              <c:f>'3. UPC &amp; MSP (fixed)'!$E$71:$I$71</c:f>
              <c:numCache>
                <c:formatCode>_(* #,##0.000_);_(* \(#,##0.000\);_(* "-"??_);_(@_)</c:formatCode>
                <c:ptCount val="5"/>
                <c:pt idx="0">
                  <c:v>1.1307258179728652</c:v>
                </c:pt>
                <c:pt idx="1">
                  <c:v>1.3006948314041424</c:v>
                </c:pt>
                <c:pt idx="2">
                  <c:v>0.91311366785290404</c:v>
                </c:pt>
                <c:pt idx="3">
                  <c:v>0.65563796811437602</c:v>
                </c:pt>
                <c:pt idx="4">
                  <c:v>0.45636810193662924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F91-49D7-B151-B14ECF71E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495808"/>
        <c:axId val="548484992"/>
      </c:scatterChart>
      <c:catAx>
        <c:axId val="54849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84992"/>
        <c:crosses val="autoZero"/>
        <c:auto val="1"/>
        <c:lblAlgn val="ctr"/>
        <c:lblOffset val="100"/>
        <c:noMultiLvlLbl val="0"/>
      </c:catAx>
      <c:valAx>
        <c:axId val="548484992"/>
        <c:scaling>
          <c:orientation val="minMax"/>
          <c:max val="1.5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dirty="0"/>
                  <a:t>Unit production cost (M$)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95808"/>
        <c:crosses val="autoZero"/>
        <c:crossBetween val="between"/>
        <c:maj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095883427673483"/>
          <c:y val="0.76387173905904637"/>
          <c:w val="0.75828263786127792"/>
          <c:h val="0.236128260940953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731689362451412"/>
          <c:y val="3.7932946620058881E-2"/>
          <c:w val="0.80770464307962286"/>
          <c:h val="0.64775363408046227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'3. UPC &amp; MSP (fixed)'!$D$122</c:f>
              <c:strCache>
                <c:ptCount val="1"/>
                <c:pt idx="0">
                  <c:v>Return on investment</c:v>
                </c:pt>
              </c:strCache>
            </c:strRef>
          </c:tx>
          <c:spPr>
            <a:solidFill>
              <a:srgbClr val="A5B592">
                <a:lumMod val="75000"/>
              </a:srgbClr>
            </a:solidFill>
            <a:ln>
              <a:noFill/>
            </a:ln>
            <a:effectLst/>
          </c:spPr>
          <c:invertIfNegative val="0"/>
          <c:cat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(fixed)'!$E$122:$I$122</c:f>
              <c:numCache>
                <c:formatCode>#,##0.00</c:formatCode>
                <c:ptCount val="5"/>
                <c:pt idx="0">
                  <c:v>0.18636889128457726</c:v>
                </c:pt>
                <c:pt idx="1">
                  <c:v>0.20478930120129388</c:v>
                </c:pt>
                <c:pt idx="2">
                  <c:v>0.13538432628314606</c:v>
                </c:pt>
                <c:pt idx="3">
                  <c:v>0.10190993825611785</c:v>
                </c:pt>
                <c:pt idx="4">
                  <c:v>7.7242525871391007E-2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1-4419-A09F-1E82FB3178E3}"/>
            </c:ext>
          </c:extLst>
        </c:ser>
        <c:ser>
          <c:idx val="1"/>
          <c:order val="1"/>
          <c:tx>
            <c:strRef>
              <c:f>'3. UPC &amp; MSP (fixed)'!$D$123</c:f>
              <c:strCache>
                <c:ptCount val="1"/>
                <c:pt idx="0">
                  <c:v>Raw material</c:v>
                </c:pt>
              </c:strCache>
            </c:strRef>
          </c:tx>
          <c:spPr>
            <a:solidFill>
              <a:srgbClr val="A5B59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(fixed)'!$E$123:$I$123</c:f>
              <c:numCache>
                <c:formatCode>#,##0.00</c:formatCode>
                <c:ptCount val="5"/>
                <c:pt idx="0">
                  <c:v>0.25134644409597229</c:v>
                </c:pt>
                <c:pt idx="1">
                  <c:v>0.22568700878580666</c:v>
                </c:pt>
                <c:pt idx="2">
                  <c:v>0.20313610242120414</c:v>
                </c:pt>
                <c:pt idx="3">
                  <c:v>0.17604011693508917</c:v>
                </c:pt>
                <c:pt idx="4">
                  <c:v>0.14705596047180547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1-4419-A09F-1E82FB3178E3}"/>
            </c:ext>
          </c:extLst>
        </c:ser>
        <c:ser>
          <c:idx val="2"/>
          <c:order val="2"/>
          <c:tx>
            <c:strRef>
              <c:f>'3. UPC &amp; MSP (fixed)'!$D$124</c:f>
              <c:strCache>
                <c:ptCount val="1"/>
                <c:pt idx="0">
                  <c:v>Utility</c:v>
                </c:pt>
              </c:strCache>
            </c:strRef>
          </c:tx>
          <c:spPr>
            <a:solidFill>
              <a:srgbClr val="A5B592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(fixed)'!$E$124:$I$124</c:f>
              <c:numCache>
                <c:formatCode>#,##0.00</c:formatCode>
                <c:ptCount val="5"/>
                <c:pt idx="0">
                  <c:v>0.77718697572200035</c:v>
                </c:pt>
                <c:pt idx="1">
                  <c:v>0.88509988916246529</c:v>
                </c:pt>
                <c:pt idx="2">
                  <c:v>0.59422113024708589</c:v>
                </c:pt>
                <c:pt idx="3">
                  <c:v>0.40261189020699467</c:v>
                </c:pt>
                <c:pt idx="4">
                  <c:v>0.26501249322296311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C1-4419-A09F-1E82FB3178E3}"/>
            </c:ext>
          </c:extLst>
        </c:ser>
        <c:ser>
          <c:idx val="0"/>
          <c:order val="3"/>
          <c:tx>
            <c:strRef>
              <c:f>'3. UPC &amp; MSP (fixed)'!$D$125</c:f>
              <c:strCache>
                <c:ptCount val="1"/>
                <c:pt idx="0">
                  <c:v>Fixed operating cost</c:v>
                </c:pt>
              </c:strCache>
            </c:strRef>
          </c:tx>
          <c:spPr>
            <a:solidFill>
              <a:srgbClr val="A5B592">
                <a:lumMod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(fixed)'!$E$125:$I$125</c:f>
              <c:numCache>
                <c:formatCode>#,##0.00</c:formatCode>
                <c:ptCount val="5"/>
                <c:pt idx="0">
                  <c:v>8.3736769124180023E-3</c:v>
                </c:pt>
                <c:pt idx="1">
                  <c:v>9.0126988883191018E-3</c:v>
                </c:pt>
                <c:pt idx="2">
                  <c:v>6.159659564521777E-3</c:v>
                </c:pt>
                <c:pt idx="3">
                  <c:v>4.7230457414008508E-3</c:v>
                </c:pt>
                <c:pt idx="4">
                  <c:v>3.6307216535223343E-3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C1-4419-A09F-1E82FB3178E3}"/>
            </c:ext>
          </c:extLst>
        </c:ser>
        <c:ser>
          <c:idx val="10"/>
          <c:order val="4"/>
          <c:tx>
            <c:strRef>
              <c:f>'3. UPC &amp; MSP (fixed)'!$D$126</c:f>
              <c:strCache>
                <c:ptCount val="1"/>
                <c:pt idx="0">
                  <c:v>Tax</c:v>
                </c:pt>
              </c:strCache>
            </c:strRef>
          </c:tx>
          <c:spPr>
            <a:solidFill>
              <a:srgbClr val="91A551"/>
            </a:solidFill>
            <a:ln w="25400">
              <a:noFill/>
            </a:ln>
            <a:effectLst/>
          </c:spPr>
          <c:invertIfNegative val="0"/>
          <c:cat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(fixed)'!$E$126:$I$126</c:f>
              <c:numCache>
                <c:formatCode>#,##0.00</c:formatCode>
                <c:ptCount val="5"/>
                <c:pt idx="0">
                  <c:v>6.2694264025376076E-2</c:v>
                </c:pt>
                <c:pt idx="1">
                  <c:v>6.8890867089408211E-2</c:v>
                </c:pt>
                <c:pt idx="2">
                  <c:v>4.5543119553856676E-2</c:v>
                </c:pt>
                <c:pt idx="3">
                  <c:v>3.4282376912801601E-2</c:v>
                </c:pt>
                <c:pt idx="4">
                  <c:v>2.5984289961640608E-2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C1-4419-A09F-1E82FB3178E3}"/>
            </c:ext>
          </c:extLst>
        </c:ser>
        <c:ser>
          <c:idx val="5"/>
          <c:order val="5"/>
          <c:tx>
            <c:strRef>
              <c:f>'3. UPC &amp; MSP (fixed)'!$D$127</c:f>
              <c:strCache>
                <c:ptCount val="1"/>
                <c:pt idx="0">
                  <c:v>Credit_Hydrogen</c:v>
                </c:pt>
              </c:strCache>
            </c:strRef>
          </c:tx>
          <c:spPr>
            <a:solidFill>
              <a:srgbClr val="F3A4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(fixed)'!$E$127:$I$127</c:f>
              <c:numCache>
                <c:formatCode>#,##0.00</c:formatCode>
                <c:ptCount val="5"/>
                <c:pt idx="0">
                  <c:v>-0.41380194231445727</c:v>
                </c:pt>
                <c:pt idx="1">
                  <c:v>-0.29136493778868416</c:v>
                </c:pt>
                <c:pt idx="2">
                  <c:v>-0.2798729034510985</c:v>
                </c:pt>
                <c:pt idx="3">
                  <c:v>-0.24900530200076273</c:v>
                </c:pt>
                <c:pt idx="4">
                  <c:v>-0.21438244098355061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C1-4419-A09F-1E82FB3178E3}"/>
            </c:ext>
          </c:extLst>
        </c:ser>
        <c:ser>
          <c:idx val="6"/>
          <c:order val="6"/>
          <c:tx>
            <c:strRef>
              <c:f>'3. UPC &amp; MSP (fixed)'!$D$128</c:f>
              <c:strCache>
                <c:ptCount val="1"/>
                <c:pt idx="0">
                  <c:v>Credit_Raw Naphthalene</c:v>
                </c:pt>
              </c:strCache>
            </c:strRef>
          </c:tx>
          <c:spPr>
            <a:solidFill>
              <a:srgbClr val="E7BC29"/>
            </a:solidFill>
            <a:ln>
              <a:noFill/>
            </a:ln>
            <a:effectLst/>
          </c:spPr>
          <c:invertIfNegative val="0"/>
          <c:cat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(fixed)'!$E$128:$I$128</c:f>
              <c:numCache>
                <c:formatCode>#,##0.00</c:formatCode>
                <c:ptCount val="5"/>
                <c:pt idx="0">
                  <c:v>-1.3794759015701626E-2</c:v>
                </c:pt>
                <c:pt idx="1">
                  <c:v>-4.5794433905613184E-3</c:v>
                </c:pt>
                <c:pt idx="2">
                  <c:v>-6.884270452215813E-3</c:v>
                </c:pt>
                <c:pt idx="3">
                  <c:v>-9.2312379245979327E-3</c:v>
                </c:pt>
                <c:pt idx="4">
                  <c:v>-1.1087115389896604E-2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C1-4419-A09F-1E82FB3178E3}"/>
            </c:ext>
          </c:extLst>
        </c:ser>
        <c:ser>
          <c:idx val="4"/>
          <c:order val="7"/>
          <c:tx>
            <c:strRef>
              <c:f>'3. UPC &amp; MSP (fixed)'!$D$129</c:f>
              <c:strCache>
                <c:ptCount val="1"/>
                <c:pt idx="0">
                  <c:v>Credit_Benzene</c:v>
                </c:pt>
              </c:strCache>
            </c:strRef>
          </c:tx>
          <c:spPr>
            <a:solidFill>
              <a:srgbClr val="D092A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(fixed)'!$E$129:$I$129</c:f>
              <c:numCache>
                <c:formatCode>#,##0.00</c:formatCode>
                <c:ptCount val="5"/>
                <c:pt idx="0">
                  <c:v>-4.7467277427360587E-2</c:v>
                </c:pt>
                <c:pt idx="1">
                  <c:v>-4.9135240451732329E-2</c:v>
                </c:pt>
                <c:pt idx="2">
                  <c:v>-5.9511829343006972E-2</c:v>
                </c:pt>
                <c:pt idx="3">
                  <c:v>-6.7991643575628286E-2</c:v>
                </c:pt>
                <c:pt idx="4">
                  <c:v>-7.1167240397381565E-2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C1-4419-A09F-1E82FB3178E3}"/>
            </c:ext>
          </c:extLst>
        </c:ser>
        <c:ser>
          <c:idx val="7"/>
          <c:order val="8"/>
          <c:tx>
            <c:strRef>
              <c:f>'3. UPC &amp; MSP (fixed)'!$D$130</c:f>
              <c:strCache>
                <c:ptCount val="1"/>
                <c:pt idx="0">
                  <c:v>Credit_C2-C5</c:v>
                </c:pt>
              </c:strCache>
            </c:strRef>
          </c:tx>
          <c:spPr>
            <a:solidFill>
              <a:srgbClr val="9C85C0"/>
            </a:solidFill>
            <a:ln>
              <a:noFill/>
            </a:ln>
            <a:effectLst/>
          </c:spPr>
          <c:invertIfNegative val="0"/>
          <c:cat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(fixed)'!$E$130:$I$130</c:f>
              <c:numCache>
                <c:formatCode>#,##0.00</c:formatCode>
                <c:ptCount val="5"/>
                <c:pt idx="0">
                  <c:v>0</c:v>
                </c:pt>
                <c:pt idx="1">
                  <c:v>-1.3770646668734031E-2</c:v>
                </c:pt>
                <c:pt idx="2">
                  <c:v>-9.628511325376404E-3</c:v>
                </c:pt>
                <c:pt idx="3">
                  <c:v>-7.4685248918797955E-3</c:v>
                </c:pt>
                <c:pt idx="4">
                  <c:v>-6.7460617011197996E-3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C1-4419-A09F-1E82FB3178E3}"/>
            </c:ext>
          </c:extLst>
        </c:ser>
        <c:ser>
          <c:idx val="8"/>
          <c:order val="9"/>
          <c:tx>
            <c:strRef>
              <c:f>'3. UPC &amp; MSP (fixed)'!$D$131</c:f>
              <c:strCache>
                <c:ptCount val="1"/>
                <c:pt idx="0">
                  <c:v>Credit_Raw Acethylene</c:v>
                </c:pt>
              </c:strCache>
            </c:strRef>
          </c:tx>
          <c:spPr>
            <a:solidFill>
              <a:srgbClr val="809EC2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2C1-4419-A09F-1E82FB3178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(fixed)'!$E$131:$I$131</c:f>
              <c:numCache>
                <c:formatCode>#,##0.00</c:formatCode>
                <c:ptCount val="5"/>
                <c:pt idx="0">
                  <c:v>-0.29157713279233166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C1-4419-A09F-1E82FB317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8495808"/>
        <c:axId val="548484992"/>
      </c:barChart>
      <c:scatterChart>
        <c:scatterStyle val="lineMarker"/>
        <c:varyColors val="0"/>
        <c:ser>
          <c:idx val="9"/>
          <c:order val="10"/>
          <c:tx>
            <c:strRef>
              <c:f>'3. UPC &amp; MSP (fixed)'!$B$89</c:f>
              <c:strCache>
                <c:ptCount val="1"/>
                <c:pt idx="0">
                  <c:v>MSP_Ethylene (99.9% vol)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5.0346497199057982E-2"/>
                  <c:y val="-1.42110794632385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2C1-4419-A09F-1E82FB3178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'3. UPC &amp; MSP (fixed)'!$E$121:$I$121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xVal>
          <c:yVal>
            <c:numRef>
              <c:f>'3. UPC &amp; MSP (fixed)'!$E$89:$I$89</c:f>
              <c:numCache>
                <c:formatCode>#,##0.00</c:formatCode>
                <c:ptCount val="5"/>
                <c:pt idx="0">
                  <c:v>1.2859702520403442</c:v>
                </c:pt>
                <c:pt idx="1">
                  <c:v>1.3934797651272934</c:v>
                </c:pt>
                <c:pt idx="2">
                  <c:v>0.98444433806981468</c:v>
                </c:pt>
                <c:pt idx="3">
                  <c:v>0.71956736805240407</c:v>
                </c:pt>
                <c:pt idx="4">
                  <c:v>0.51892599118132254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2C1-4419-A09F-1E82FB317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495808"/>
        <c:axId val="548484992"/>
      </c:scatterChart>
      <c:catAx>
        <c:axId val="54849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84992"/>
        <c:crosses val="autoZero"/>
        <c:auto val="1"/>
        <c:lblAlgn val="ctr"/>
        <c:lblOffset val="100"/>
        <c:noMultiLvlLbl val="0"/>
      </c:catAx>
      <c:valAx>
        <c:axId val="548484992"/>
        <c:scaling>
          <c:orientation val="minMax"/>
          <c:max val="1.5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dirty="0"/>
                  <a:t>Minimum selling price ($/kg)</a:t>
                </a:r>
              </a:p>
            </c:rich>
          </c:tx>
          <c:layout>
            <c:manualLayout>
              <c:xMode val="edge"/>
              <c:yMode val="edge"/>
              <c:x val="2.6577779980852981E-2"/>
              <c:y val="0.102827171350917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95808"/>
        <c:crosses val="autoZero"/>
        <c:crossBetween val="between"/>
        <c:maj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egendEntry>
        <c:idx val="10"/>
        <c:delete val="1"/>
      </c:legendEntry>
      <c:layout>
        <c:manualLayout>
          <c:xMode val="edge"/>
          <c:yMode val="edge"/>
          <c:x val="0.14397205333349117"/>
          <c:y val="0.7787471819159183"/>
          <c:w val="0.81139717795931754"/>
          <c:h val="0.219762542083965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2071219181998938"/>
          <c:y val="2.2684607428205054E-2"/>
          <c:w val="0.74037488680989849"/>
          <c:h val="0.691418854767903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'3. UPC &amp; MSP (fixed)'!$B$41</c:f>
              <c:strCache>
                <c:ptCount val="1"/>
                <c:pt idx="0">
                  <c:v>Natural gas feedstock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1691089-5357-4457-A756-F8EA8C0566AF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5A3-45DC-BC49-637AEA9C864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8529FD9-B3E6-4EE3-8436-666E0D5E1C58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5A3-45DC-BC49-637AEA9C864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9107790-EBBE-48BD-8061-28A59F3BBE7D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5A3-45DC-BC49-637AEA9C864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4F8B24C-26D1-4219-A9DF-0418C88831C2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5A3-45DC-BC49-637AEA9C864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1CC585F-FF0A-450B-B889-0FA9B7090639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5A3-45DC-BC49-637AEA9C86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(fixed)'!$E$41:$I$41</c:f>
              <c:numCache>
                <c:formatCode>#,##0</c:formatCode>
                <c:ptCount val="5"/>
                <c:pt idx="0">
                  <c:v>303066278.36371672</c:v>
                </c:pt>
                <c:pt idx="1">
                  <c:v>303066278.36371672</c:v>
                </c:pt>
                <c:pt idx="2">
                  <c:v>303066278.36371672</c:v>
                </c:pt>
                <c:pt idx="3">
                  <c:v>303066278.36371672</c:v>
                </c:pt>
                <c:pt idx="4">
                  <c:v>303066278.36371672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'3. UPC &amp; MSP (fixed)'!$P$50:$T$50</c15:f>
                <c15:dlblRangeCache>
                  <c:ptCount val="5"/>
                  <c:pt idx="0">
                    <c:v>24%</c:v>
                  </c:pt>
                  <c:pt idx="1">
                    <c:v>20%</c:v>
                  </c:pt>
                  <c:pt idx="2">
                    <c:v>25%</c:v>
                  </c:pt>
                  <c:pt idx="3">
                    <c:v>30%</c:v>
                  </c:pt>
                  <c:pt idx="4">
                    <c:v>35%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35A3-45DC-BC49-637AEA9C8644}"/>
            </c:ext>
          </c:extLst>
        </c:ser>
        <c:ser>
          <c:idx val="1"/>
          <c:order val="1"/>
          <c:tx>
            <c:strRef>
              <c:f>'3. UPC &amp; MSP (fixed)'!$B$42</c:f>
              <c:strCache>
                <c:ptCount val="1"/>
                <c:pt idx="0">
                  <c:v>Fuel gas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CDBFA34-8756-4983-977E-B7062A795E8D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5A3-45DC-BC49-637AEA9C864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D0F8F62-EC76-4B70-8C90-8620008A1CBD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5A3-45DC-BC49-637AEA9C864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775F669-A231-4734-8BE1-8674A07E1C66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5A3-45DC-BC49-637AEA9C864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68A2DD2-AF51-4B1C-B844-271EE13029B3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5A3-45DC-BC49-637AEA9C864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465D5A2-DA5B-4401-A408-A0DB939FA614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5A3-45DC-BC49-637AEA9C86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(fixed)'!$E$42:$I$42</c:f>
              <c:numCache>
                <c:formatCode>#,##0</c:formatCode>
                <c:ptCount val="5"/>
                <c:pt idx="0">
                  <c:v>143265609.75522712</c:v>
                </c:pt>
                <c:pt idx="1">
                  <c:v>243100096.25026989</c:v>
                </c:pt>
                <c:pt idx="2">
                  <c:v>187104088.90434361</c:v>
                </c:pt>
                <c:pt idx="3">
                  <c:v>156130685.60420069</c:v>
                </c:pt>
                <c:pt idx="4">
                  <c:v>136392638.43295923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'3. UPC &amp; MSP (fixed)'!$P$51:$T$51</c15:f>
                <c15:dlblRangeCache>
                  <c:ptCount val="5"/>
                  <c:pt idx="0">
                    <c:v>11%</c:v>
                  </c:pt>
                  <c:pt idx="1">
                    <c:v>16%</c:v>
                  </c:pt>
                  <c:pt idx="2">
                    <c:v>16%</c:v>
                  </c:pt>
                  <c:pt idx="3">
                    <c:v>16%</c:v>
                  </c:pt>
                  <c:pt idx="4">
                    <c:v>16%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35A3-45DC-BC49-637AEA9C8644}"/>
            </c:ext>
          </c:extLst>
        </c:ser>
        <c:ser>
          <c:idx val="2"/>
          <c:order val="2"/>
          <c:tx>
            <c:strRef>
              <c:f>'3. UPC &amp; MSP (fixed)'!$B$43</c:f>
              <c:strCache>
                <c:ptCount val="1"/>
                <c:pt idx="0">
                  <c:v>O2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(fixed)'!$E$43:$I$43</c:f>
              <c:numCache>
                <c:formatCode>#,##0</c:formatCode>
                <c:ptCount val="5"/>
                <c:pt idx="0">
                  <c:v>14335462.4</c:v>
                </c:pt>
                <c:pt idx="1">
                  <c:v>220960613.79773313</c:v>
                </c:pt>
                <c:pt idx="2">
                  <c:v>170065896.88234177</c:v>
                </c:pt>
                <c:pt idx="3">
                  <c:v>141914200.58141279</c:v>
                </c:pt>
                <c:pt idx="4">
                  <c:v>123974308.59880991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5A3-45DC-BC49-637AEA9C8644}"/>
            </c:ext>
          </c:extLst>
        </c:ser>
        <c:ser>
          <c:idx val="3"/>
          <c:order val="3"/>
          <c:tx>
            <c:strRef>
              <c:f>'3. UPC &amp; MSP (fixed)'!$B$44</c:f>
              <c:strCache>
                <c:ptCount val="1"/>
                <c:pt idx="0">
                  <c:v>CW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(fixed)'!$E$44:$I$44</c:f>
              <c:numCache>
                <c:formatCode>#,##0</c:formatCode>
                <c:ptCount val="5"/>
                <c:pt idx="0">
                  <c:v>101884143.59999999</c:v>
                </c:pt>
                <c:pt idx="1">
                  <c:v>100075606.56</c:v>
                </c:pt>
                <c:pt idx="2">
                  <c:v>70529291.640000001</c:v>
                </c:pt>
                <c:pt idx="3">
                  <c:v>53760233.879999995</c:v>
                </c:pt>
                <c:pt idx="4">
                  <c:v>44886791.879999995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5A3-45DC-BC49-637AEA9C8644}"/>
            </c:ext>
          </c:extLst>
        </c:ser>
        <c:ser>
          <c:idx val="4"/>
          <c:order val="4"/>
          <c:tx>
            <c:strRef>
              <c:f>'3. UPC &amp; MSP (fixed)'!$B$45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1F1FCDB-92C1-42D0-BAE9-F57E3DF6BBDF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5A3-45DC-BC49-637AEA9C864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787A638-D32C-4549-8827-876625F869E7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5A3-45DC-BC49-637AEA9C864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354F01D-8A09-49BB-B8E1-F76D9A3A17EB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5A3-45DC-BC49-637AEA9C864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2BDB6BA-5AFB-4DF6-82B3-C7DA35104467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5A3-45DC-BC49-637AEA9C864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A9BB56D-4D57-42BA-AA75-206139E4ED05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5A3-45DC-BC49-637AEA9C86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(fixed)'!$E$45:$I$45</c:f>
              <c:numCache>
                <c:formatCode>#,##0</c:formatCode>
                <c:ptCount val="5"/>
                <c:pt idx="0">
                  <c:v>578820085.27200007</c:v>
                </c:pt>
                <c:pt idx="1">
                  <c:v>569343795.84000003</c:v>
                </c:pt>
                <c:pt idx="2">
                  <c:v>413724673.44000006</c:v>
                </c:pt>
                <c:pt idx="3">
                  <c:v>299483095.68000001</c:v>
                </c:pt>
                <c:pt idx="4">
                  <c:v>192992856.48000002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'3. UPC &amp; MSP (fixed)'!$P$54:$T$54</c15:f>
                <c15:dlblRangeCache>
                  <c:ptCount val="5"/>
                  <c:pt idx="0">
                    <c:v>46%</c:v>
                  </c:pt>
                  <c:pt idx="1">
                    <c:v>38%</c:v>
                  </c:pt>
                  <c:pt idx="2">
                    <c:v>35%</c:v>
                  </c:pt>
                  <c:pt idx="3">
                    <c:v>30%</c:v>
                  </c:pt>
                  <c:pt idx="4">
                    <c:v>23%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35A3-45DC-BC49-637AEA9C8644}"/>
            </c:ext>
          </c:extLst>
        </c:ser>
        <c:ser>
          <c:idx val="5"/>
          <c:order val="5"/>
          <c:tx>
            <c:strRef>
              <c:f>'3. UPC &amp; MSP (fixed)'!$B$46</c:f>
              <c:strCache>
                <c:ptCount val="1"/>
                <c:pt idx="0">
                  <c:v>HPS</c:v>
                </c:pt>
              </c:strCache>
            </c:strRef>
          </c:tx>
          <c:spPr>
            <a:solidFill>
              <a:sysClr val="windowText" lastClr="000000"/>
            </a:solidFill>
            <a:ln>
              <a:noFill/>
            </a:ln>
            <a:effectLst/>
          </c:spPr>
          <c:invertIfNegative val="0"/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(fixed)'!$E$46:$I$46</c:f>
              <c:numCache>
                <c:formatCode>#,##0</c:formatCode>
                <c:ptCount val="5"/>
                <c:pt idx="0">
                  <c:v>572343.22860000003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5A3-45DC-BC49-637AEA9C8644}"/>
            </c:ext>
          </c:extLst>
        </c:ser>
        <c:ser>
          <c:idx val="6"/>
          <c:order val="6"/>
          <c:tx>
            <c:strRef>
              <c:f>'3. UPC &amp; MSP (fixed)'!$B$47</c:f>
              <c:strCache>
                <c:ptCount val="1"/>
                <c:pt idx="0">
                  <c:v>LPS</c:v>
                </c:pt>
              </c:strCache>
            </c:strRef>
          </c:tx>
          <c:spPr>
            <a:solidFill>
              <a:sysClr val="windowText" lastClr="000000">
                <a:lumMod val="50000"/>
                <a:lumOff val="50000"/>
              </a:sysClr>
            </a:solidFill>
            <a:ln>
              <a:noFill/>
            </a:ln>
            <a:effectLst/>
          </c:spPr>
          <c:invertIfNegative val="0"/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(fixed)'!$E$47:$I$47</c:f>
              <c:numCache>
                <c:formatCode>#,##0</c:formatCode>
                <c:ptCount val="5"/>
                <c:pt idx="0">
                  <c:v>12053565.09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5A3-45DC-BC49-637AEA9C8644}"/>
            </c:ext>
          </c:extLst>
        </c:ser>
        <c:ser>
          <c:idx val="7"/>
          <c:order val="7"/>
          <c:tx>
            <c:strRef>
              <c:f>'3. UPC &amp; MSP (fixed)'!$B$48</c:f>
              <c:strCache>
                <c:ptCount val="1"/>
                <c:pt idx="0">
                  <c:v>Refrigeration</c:v>
                </c:pt>
              </c:strCache>
            </c:strRef>
          </c:tx>
          <c:spPr>
            <a:solidFill>
              <a:srgbClr val="809EC2"/>
            </a:solidFill>
            <a:ln>
              <a:noFill/>
            </a:ln>
            <a:effectLst/>
          </c:spPr>
          <c:invertIfNegative val="0"/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(fixed)'!$E$48:$I$48</c:f>
              <c:numCache>
                <c:formatCode>#,##0</c:formatCode>
                <c:ptCount val="5"/>
                <c:pt idx="0">
                  <c:v>86178385.229866669</c:v>
                </c:pt>
                <c:pt idx="1">
                  <c:v>55085994.3552</c:v>
                </c:pt>
                <c:pt idx="2">
                  <c:v>45116572.076159999</c:v>
                </c:pt>
                <c:pt idx="3">
                  <c:v>41838381.273216002</c:v>
                </c:pt>
                <c:pt idx="4">
                  <c:v>47915217.997440003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5A3-45DC-BC49-637AEA9C8644}"/>
            </c:ext>
          </c:extLst>
        </c:ser>
        <c:ser>
          <c:idx val="8"/>
          <c:order val="8"/>
          <c:tx>
            <c:strRef>
              <c:f>'3. UPC &amp; MSP (fixed)'!$B$49</c:f>
              <c:strCache>
                <c:ptCount val="1"/>
                <c:pt idx="0">
                  <c:v>Fixed operating costs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(fixed)'!$E$49:$I$49</c:f>
              <c:numCache>
                <c:formatCode>#,##0</c:formatCode>
                <c:ptCount val="5"/>
                <c:pt idx="0">
                  <c:v>10096737.621232051</c:v>
                </c:pt>
                <c:pt idx="1">
                  <c:v>12102801.684469206</c:v>
                </c:pt>
                <c:pt idx="2">
                  <c:v>9189824.3490775209</c:v>
                </c:pt>
                <c:pt idx="3">
                  <c:v>8131077.8492367845</c:v>
                </c:pt>
                <c:pt idx="4">
                  <c:v>7482520.9109326778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5A3-45DC-BC49-637AEA9C8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85844047"/>
        <c:axId val="1085858191"/>
      </c:barChart>
      <c:catAx>
        <c:axId val="108584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ko-KR"/>
          </a:p>
        </c:txPr>
        <c:crossAx val="1085858191"/>
        <c:crosses val="autoZero"/>
        <c:auto val="1"/>
        <c:lblAlgn val="ctr"/>
        <c:lblOffset val="100"/>
        <c:noMultiLvlLbl val="0"/>
      </c:catAx>
      <c:valAx>
        <c:axId val="10858581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b="1" dirty="0"/>
                  <a:t>OPEX (M$)</a:t>
                </a:r>
              </a:p>
            </c:rich>
          </c:tx>
          <c:layout>
            <c:manualLayout>
              <c:xMode val="edge"/>
              <c:yMode val="edge"/>
              <c:x val="4.1858766544100685E-3"/>
              <c:y val="0.289893110339660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1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ko-KR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ko-KR"/>
          </a:p>
        </c:txPr>
        <c:crossAx val="108584404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</c:dispUnitsLbl>
        </c:dispUnits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300167243995633"/>
          <c:y val="0.78759268870423482"/>
          <c:w val="0.87699832756004348"/>
          <c:h val="0.212005960409309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+mn-cs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2071219181998938"/>
          <c:y val="2.2684607428205054E-2"/>
          <c:w val="0.74037488680989849"/>
          <c:h val="0.7473238153564806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UPC &amp; MSP (fixed)'!$E$20:$I$20</c:f>
              <c:strCache>
                <c:ptCount val="5"/>
                <c:pt idx="0">
                  <c:v>Previous</c:v>
                </c:pt>
                <c:pt idx="1">
                  <c:v>Case 1</c:v>
                </c:pt>
                <c:pt idx="2">
                  <c:v>Case 2</c:v>
                </c:pt>
                <c:pt idx="3">
                  <c:v>Case 3</c:v>
                </c:pt>
                <c:pt idx="4">
                  <c:v>Case 4</c:v>
                </c:pt>
              </c:strCache>
            </c:strRef>
          </c:cat>
          <c:val>
            <c:numRef>
              <c:f>'3. UPC &amp; MSP (fixed)'!$E$21:$I$21</c:f>
              <c:numCache>
                <c:formatCode>#,##0</c:formatCode>
                <c:ptCount val="5"/>
                <c:pt idx="0">
                  <c:v>2529829068.224349</c:v>
                </c:pt>
                <c:pt idx="1">
                  <c:v>3095930522.1063867</c:v>
                </c:pt>
                <c:pt idx="2">
                  <c:v>2273902164.1687799</c:v>
                </c:pt>
                <c:pt idx="3">
                  <c:v>1975128666.8682957</c:v>
                </c:pt>
                <c:pt idx="4">
                  <c:v>1792108654.9168334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B-4E6F-9906-7C1C2B918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85844047"/>
        <c:axId val="1085858191"/>
      </c:barChart>
      <c:catAx>
        <c:axId val="108584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ko-KR"/>
          </a:p>
        </c:txPr>
        <c:crossAx val="1085858191"/>
        <c:crosses val="autoZero"/>
        <c:auto val="1"/>
        <c:lblAlgn val="ctr"/>
        <c:lblOffset val="100"/>
        <c:noMultiLvlLbl val="0"/>
      </c:catAx>
      <c:valAx>
        <c:axId val="10858581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b="1" dirty="0"/>
                  <a:t>CAPEX (M$)</a:t>
                </a:r>
              </a:p>
            </c:rich>
          </c:tx>
          <c:layout>
            <c:manualLayout>
              <c:xMode val="edge"/>
              <c:yMode val="edge"/>
              <c:x val="4.1858766544100685E-3"/>
              <c:y val="0.366198163321352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1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ko-KR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ko-KR"/>
          </a:p>
        </c:txPr>
        <c:crossAx val="108584404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</c:dispUnitsLbl>
        </c:dispUnits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+mn-cs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9840469460790594"/>
          <c:y val="3.7932946620058881E-2"/>
          <c:w val="0.76661674239347599"/>
          <c:h val="0.68006449199288355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'[1]2. Eqipment cost'!$B$4</c:f>
              <c:strCache>
                <c:ptCount val="1"/>
                <c:pt idx="0">
                  <c:v>Catalytic conversion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'[1]2. Eqipment cost'!$D$3:$K$3</c:f>
              <c:strCache>
                <c:ptCount val="8"/>
                <c:pt idx="0">
                  <c:v>Case 1_FH</c:v>
                </c:pt>
                <c:pt idx="1">
                  <c:v>Case 2_FH</c:v>
                </c:pt>
                <c:pt idx="2">
                  <c:v>Case 3_FH</c:v>
                </c:pt>
                <c:pt idx="3">
                  <c:v>Case 4_FH</c:v>
                </c:pt>
                <c:pt idx="4">
                  <c:v>Case 1_EF</c:v>
                </c:pt>
                <c:pt idx="5">
                  <c:v>Case 2_EF</c:v>
                </c:pt>
                <c:pt idx="6">
                  <c:v>Case 3_EF</c:v>
                </c:pt>
                <c:pt idx="7">
                  <c:v>Case 4_EF</c:v>
                </c:pt>
              </c:strCache>
            </c:strRef>
          </c:cat>
          <c:val>
            <c:numRef>
              <c:f>'[1]2. Eqipment cost'!$D$4:$K$4</c:f>
              <c:numCache>
                <c:formatCode>General</c:formatCode>
                <c:ptCount val="8"/>
                <c:pt idx="0">
                  <c:v>365310556.98075145</c:v>
                </c:pt>
                <c:pt idx="1">
                  <c:v>287851133.81864643</c:v>
                </c:pt>
                <c:pt idx="2">
                  <c:v>249323826.1706017</c:v>
                </c:pt>
                <c:pt idx="3">
                  <c:v>223837036.42283756</c:v>
                </c:pt>
                <c:pt idx="4">
                  <c:v>463857142.85714287</c:v>
                </c:pt>
                <c:pt idx="5">
                  <c:v>325023809.52380949</c:v>
                </c:pt>
                <c:pt idx="6">
                  <c:v>262285714.28571427</c:v>
                </c:pt>
                <c:pt idx="7">
                  <c:v>223293650.79365075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C-43B1-97F0-79C4FE09438D}"/>
            </c:ext>
          </c:extLst>
        </c:ser>
        <c:ser>
          <c:idx val="1"/>
          <c:order val="1"/>
          <c:tx>
            <c:strRef>
              <c:f>'[1]2. Eqipment cost'!$B$5</c:f>
              <c:strCache>
                <c:ptCount val="1"/>
                <c:pt idx="0">
                  <c:v>Compressor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'[1]2. Eqipment cost'!$D$3:$K$3</c:f>
              <c:strCache>
                <c:ptCount val="8"/>
                <c:pt idx="0">
                  <c:v>Case 1_FH</c:v>
                </c:pt>
                <c:pt idx="1">
                  <c:v>Case 2_FH</c:v>
                </c:pt>
                <c:pt idx="2">
                  <c:v>Case 3_FH</c:v>
                </c:pt>
                <c:pt idx="3">
                  <c:v>Case 4_FH</c:v>
                </c:pt>
                <c:pt idx="4">
                  <c:v>Case 1_EF</c:v>
                </c:pt>
                <c:pt idx="5">
                  <c:v>Case 2_EF</c:v>
                </c:pt>
                <c:pt idx="6">
                  <c:v>Case 3_EF</c:v>
                </c:pt>
                <c:pt idx="7">
                  <c:v>Case 4_EF</c:v>
                </c:pt>
              </c:strCache>
            </c:strRef>
          </c:cat>
          <c:val>
            <c:numRef>
              <c:f>'[1]2. Eqipment cost'!$D$5:$K$5</c:f>
              <c:numCache>
                <c:formatCode>General</c:formatCode>
                <c:ptCount val="8"/>
                <c:pt idx="0">
                  <c:v>500284109.6547454</c:v>
                </c:pt>
                <c:pt idx="1">
                  <c:v>420440311.36964452</c:v>
                </c:pt>
                <c:pt idx="2">
                  <c:v>353122273.71876049</c:v>
                </c:pt>
                <c:pt idx="3">
                  <c:v>296940127.135355</c:v>
                </c:pt>
                <c:pt idx="4">
                  <c:v>500284109.6547454</c:v>
                </c:pt>
                <c:pt idx="5">
                  <c:v>420440311.36964452</c:v>
                </c:pt>
                <c:pt idx="6">
                  <c:v>353122273.71876049</c:v>
                </c:pt>
                <c:pt idx="7">
                  <c:v>296940127.135355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BC-43B1-97F0-79C4FE09438D}"/>
            </c:ext>
          </c:extLst>
        </c:ser>
        <c:ser>
          <c:idx val="2"/>
          <c:order val="2"/>
          <c:tx>
            <c:strRef>
              <c:f>'[1]2. Eqipment cost'!$B$6</c:f>
              <c:strCache>
                <c:ptCount val="1"/>
                <c:pt idx="0">
                  <c:v>Flash tank &amp; column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'[1]2. Eqipment cost'!$D$3:$K$3</c:f>
              <c:strCache>
                <c:ptCount val="8"/>
                <c:pt idx="0">
                  <c:v>Case 1_FH</c:v>
                </c:pt>
                <c:pt idx="1">
                  <c:v>Case 2_FH</c:v>
                </c:pt>
                <c:pt idx="2">
                  <c:v>Case 3_FH</c:v>
                </c:pt>
                <c:pt idx="3">
                  <c:v>Case 4_FH</c:v>
                </c:pt>
                <c:pt idx="4">
                  <c:v>Case 1_EF</c:v>
                </c:pt>
                <c:pt idx="5">
                  <c:v>Case 2_EF</c:v>
                </c:pt>
                <c:pt idx="6">
                  <c:v>Case 3_EF</c:v>
                </c:pt>
                <c:pt idx="7">
                  <c:v>Case 4_EF</c:v>
                </c:pt>
              </c:strCache>
            </c:strRef>
          </c:cat>
          <c:val>
            <c:numRef>
              <c:f>'[1]2. Eqipment cost'!$D$6:$K$6</c:f>
              <c:numCache>
                <c:formatCode>General</c:formatCode>
                <c:ptCount val="8"/>
                <c:pt idx="0">
                  <c:v>23807200</c:v>
                </c:pt>
                <c:pt idx="1">
                  <c:v>18646000</c:v>
                </c:pt>
                <c:pt idx="2">
                  <c:v>19547800</c:v>
                </c:pt>
                <c:pt idx="3">
                  <c:v>29837400</c:v>
                </c:pt>
                <c:pt idx="4">
                  <c:v>23807200</c:v>
                </c:pt>
                <c:pt idx="5">
                  <c:v>18646000</c:v>
                </c:pt>
                <c:pt idx="6">
                  <c:v>19547800</c:v>
                </c:pt>
                <c:pt idx="7">
                  <c:v>29837400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BC-43B1-97F0-79C4FE09438D}"/>
            </c:ext>
          </c:extLst>
        </c:ser>
        <c:ser>
          <c:idx val="0"/>
          <c:order val="3"/>
          <c:tx>
            <c:strRef>
              <c:f>'[1]2. Eqipment cost'!$B$7</c:f>
              <c:strCache>
                <c:ptCount val="1"/>
                <c:pt idx="0">
                  <c:v>Heat exchanger, heater, cooler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'[1]2. Eqipment cost'!$D$3:$K$3</c:f>
              <c:strCache>
                <c:ptCount val="8"/>
                <c:pt idx="0">
                  <c:v>Case 1_FH</c:v>
                </c:pt>
                <c:pt idx="1">
                  <c:v>Case 2_FH</c:v>
                </c:pt>
                <c:pt idx="2">
                  <c:v>Case 3_FH</c:v>
                </c:pt>
                <c:pt idx="3">
                  <c:v>Case 4_FH</c:v>
                </c:pt>
                <c:pt idx="4">
                  <c:v>Case 1_EF</c:v>
                </c:pt>
                <c:pt idx="5">
                  <c:v>Case 2_EF</c:v>
                </c:pt>
                <c:pt idx="6">
                  <c:v>Case 3_EF</c:v>
                </c:pt>
                <c:pt idx="7">
                  <c:v>Case 4_EF</c:v>
                </c:pt>
              </c:strCache>
            </c:strRef>
          </c:cat>
          <c:val>
            <c:numRef>
              <c:f>'[1]2. Eqipment cost'!$D$7:$K$7</c:f>
              <c:numCache>
                <c:formatCode>General</c:formatCode>
                <c:ptCount val="8"/>
                <c:pt idx="0">
                  <c:v>41871189.731092587</c:v>
                </c:pt>
                <c:pt idx="1">
                  <c:v>29320948.23264204</c:v>
                </c:pt>
                <c:pt idx="2">
                  <c:v>15517790.409398418</c:v>
                </c:pt>
                <c:pt idx="3">
                  <c:v>33563300.763974085</c:v>
                </c:pt>
                <c:pt idx="4">
                  <c:v>41871189.731092587</c:v>
                </c:pt>
                <c:pt idx="5">
                  <c:v>29320948.23264204</c:v>
                </c:pt>
                <c:pt idx="6">
                  <c:v>15517790.409398418</c:v>
                </c:pt>
                <c:pt idx="7">
                  <c:v>134227314.57202512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BC-43B1-97F0-79C4FE09438D}"/>
            </c:ext>
          </c:extLst>
        </c:ser>
        <c:ser>
          <c:idx val="5"/>
          <c:order val="4"/>
          <c:tx>
            <c:strRef>
              <c:f>'[1]2. Eqipment cost'!$B$8</c:f>
              <c:strCache>
                <c:ptCount val="1"/>
                <c:pt idx="0">
                  <c:v>H2PSA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'[1]2. Eqipment cost'!$D$3:$K$3</c:f>
              <c:strCache>
                <c:ptCount val="8"/>
                <c:pt idx="0">
                  <c:v>Case 1_FH</c:v>
                </c:pt>
                <c:pt idx="1">
                  <c:v>Case 2_FH</c:v>
                </c:pt>
                <c:pt idx="2">
                  <c:v>Case 3_FH</c:v>
                </c:pt>
                <c:pt idx="3">
                  <c:v>Case 4_FH</c:v>
                </c:pt>
                <c:pt idx="4">
                  <c:v>Case 1_EF</c:v>
                </c:pt>
                <c:pt idx="5">
                  <c:v>Case 2_EF</c:v>
                </c:pt>
                <c:pt idx="6">
                  <c:v>Case 3_EF</c:v>
                </c:pt>
                <c:pt idx="7">
                  <c:v>Case 4_EF</c:v>
                </c:pt>
              </c:strCache>
            </c:strRef>
          </c:cat>
          <c:val>
            <c:numRef>
              <c:f>'[1]2. Eqipment cost'!$D$8:$K$8</c:f>
              <c:numCache>
                <c:formatCode>General</c:formatCode>
                <c:ptCount val="8"/>
                <c:pt idx="0">
                  <c:v>53705975.33563529</c:v>
                </c:pt>
                <c:pt idx="1">
                  <c:v>58455132.60656698</c:v>
                </c:pt>
                <c:pt idx="2">
                  <c:v>59466357.279898524</c:v>
                </c:pt>
                <c:pt idx="3">
                  <c:v>60946714.352382183</c:v>
                </c:pt>
                <c:pt idx="4">
                  <c:v>53705975.33563529</c:v>
                </c:pt>
                <c:pt idx="5">
                  <c:v>58455132.60656698</c:v>
                </c:pt>
                <c:pt idx="6">
                  <c:v>59466357.279898524</c:v>
                </c:pt>
                <c:pt idx="7">
                  <c:v>60946714.352382183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BC-43B1-97F0-79C4FE09438D}"/>
            </c:ext>
          </c:extLst>
        </c:ser>
        <c:ser>
          <c:idx val="4"/>
          <c:order val="5"/>
          <c:tx>
            <c:strRef>
              <c:f>'[1]2. Eqipment cost'!$B$10</c:f>
              <c:strCache>
                <c:ptCount val="1"/>
                <c:pt idx="0">
                  <c:v>Storage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'[1]2. Eqipment cost'!$D$3:$K$3</c:f>
              <c:strCache>
                <c:ptCount val="8"/>
                <c:pt idx="0">
                  <c:v>Case 1_FH</c:v>
                </c:pt>
                <c:pt idx="1">
                  <c:v>Case 2_FH</c:v>
                </c:pt>
                <c:pt idx="2">
                  <c:v>Case 3_FH</c:v>
                </c:pt>
                <c:pt idx="3">
                  <c:v>Case 4_FH</c:v>
                </c:pt>
                <c:pt idx="4">
                  <c:v>Case 1_EF</c:v>
                </c:pt>
                <c:pt idx="5">
                  <c:v>Case 2_EF</c:v>
                </c:pt>
                <c:pt idx="6">
                  <c:v>Case 3_EF</c:v>
                </c:pt>
                <c:pt idx="7">
                  <c:v>Case 4_EF</c:v>
                </c:pt>
              </c:strCache>
            </c:strRef>
          </c:cat>
          <c:val>
            <c:numRef>
              <c:f>'[1]2. Eqipment cost'!$D$10:$K$10</c:f>
              <c:numCache>
                <c:formatCode>General</c:formatCode>
                <c:ptCount val="8"/>
                <c:pt idx="0">
                  <c:v>42895459.669885643</c:v>
                </c:pt>
                <c:pt idx="1">
                  <c:v>39448461.164383493</c:v>
                </c:pt>
                <c:pt idx="2">
                  <c:v>38466381.253117822</c:v>
                </c:pt>
                <c:pt idx="3">
                  <c:v>36166499.455668882</c:v>
                </c:pt>
                <c:pt idx="4">
                  <c:v>42895459.669885643</c:v>
                </c:pt>
                <c:pt idx="5">
                  <c:v>39448461.164383493</c:v>
                </c:pt>
                <c:pt idx="6">
                  <c:v>38466381.253117822</c:v>
                </c:pt>
                <c:pt idx="7">
                  <c:v>36166499.455668882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BC-43B1-97F0-79C4FE094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48495808"/>
        <c:axId val="548484992"/>
      </c:barChart>
      <c:catAx>
        <c:axId val="54849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84992"/>
        <c:crosses val="autoZero"/>
        <c:auto val="1"/>
        <c:lblAlgn val="ctr"/>
        <c:lblOffset val="100"/>
        <c:noMultiLvlLbl val="0"/>
      </c:catAx>
      <c:valAx>
        <c:axId val="548484992"/>
        <c:scaling>
          <c:orientation val="minMax"/>
          <c:max val="7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dirty="0"/>
                  <a:t>Purchased equipment cost (MM$)</a:t>
                </a:r>
              </a:p>
            </c:rich>
          </c:tx>
          <c:layout>
            <c:manualLayout>
              <c:xMode val="edge"/>
              <c:yMode val="edge"/>
              <c:x val="4.052005335671189E-2"/>
              <c:y val="0.110554061566366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95808"/>
        <c:crosses val="autoZero"/>
        <c:crossBetween val="between"/>
        <c:majorUnit val="100000000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</c:dispUnitsLbl>
        </c:dispUnits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3365753163717559"/>
          <c:y val="0.8336284544243493"/>
          <c:w val="0.66647655697412056"/>
          <c:h val="0.154486297427238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154286885081177"/>
          <c:y val="3.9661533525826118E-2"/>
          <c:w val="0.84594664703549327"/>
          <c:h val="0.6828119987167148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'3. CEF &amp; EEF'!$B$52</c:f>
              <c:strCache>
                <c:ptCount val="1"/>
                <c:pt idx="0">
                  <c:v>Ethylene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CEF &amp; EEF'!$E$33:$R$33</c:f>
              <c:strCache>
                <c:ptCount val="14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  <c:pt idx="8">
                  <c:v>Case 1 (E-furnace)</c:v>
                </c:pt>
                <c:pt idx="9">
                  <c:v>Case 2 (E-furnace)</c:v>
                </c:pt>
                <c:pt idx="10">
                  <c:v>Case 3 (E-furnace)</c:v>
                </c:pt>
                <c:pt idx="11">
                  <c:v>Case 4 (E-furnace)</c:v>
                </c:pt>
                <c:pt idx="12">
                  <c:v>Case 1 (E-furnace w CCS)</c:v>
                </c:pt>
                <c:pt idx="13">
                  <c:v>Case 2 (E-furnace w CCS)</c:v>
                </c:pt>
              </c:strCache>
            </c:strRef>
          </c:cat>
          <c:val>
            <c:numRef>
              <c:f>'3. CEF &amp; EEF'!$E$52:$R$52</c:f>
              <c:numCache>
                <c:formatCode>0.0%</c:formatCode>
                <c:ptCount val="14"/>
                <c:pt idx="0">
                  <c:v>0.78443637230647312</c:v>
                </c:pt>
                <c:pt idx="1">
                  <c:v>0.72162120727041434</c:v>
                </c:pt>
                <c:pt idx="2">
                  <c:v>0.67753199436244271</c:v>
                </c:pt>
                <c:pt idx="3">
                  <c:v>0.60494084868645093</c:v>
                </c:pt>
                <c:pt idx="4">
                  <c:v>0.78443637230647312</c:v>
                </c:pt>
                <c:pt idx="5">
                  <c:v>0.72162120727041434</c:v>
                </c:pt>
                <c:pt idx="6">
                  <c:v>0.67753199436244271</c:v>
                </c:pt>
                <c:pt idx="7">
                  <c:v>0.60494084868645093</c:v>
                </c:pt>
                <c:pt idx="8">
                  <c:v>0.78437445010293627</c:v>
                </c:pt>
                <c:pt idx="9">
                  <c:v>0.72137999179183121</c:v>
                </c:pt>
                <c:pt idx="10">
                  <c:v>0.67749101996083738</c:v>
                </c:pt>
                <c:pt idx="11">
                  <c:v>0.61420101040607133</c:v>
                </c:pt>
                <c:pt idx="12">
                  <c:v>0.78437445010293627</c:v>
                </c:pt>
                <c:pt idx="13">
                  <c:v>0.72137999179183121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7-46E4-A83F-C861A88B757D}"/>
            </c:ext>
          </c:extLst>
        </c:ser>
        <c:ser>
          <c:idx val="1"/>
          <c:order val="1"/>
          <c:tx>
            <c:strRef>
              <c:f>'3. CEF &amp; EEF'!$B$53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ysClr val="window" lastClr="FFFFFF">
                <a:lumMod val="85000"/>
              </a:sys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CEF &amp; EEF'!$E$33:$R$33</c:f>
              <c:strCache>
                <c:ptCount val="14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  <c:pt idx="8">
                  <c:v>Case 1 (E-furnace)</c:v>
                </c:pt>
                <c:pt idx="9">
                  <c:v>Case 2 (E-furnace)</c:v>
                </c:pt>
                <c:pt idx="10">
                  <c:v>Case 3 (E-furnace)</c:v>
                </c:pt>
                <c:pt idx="11">
                  <c:v>Case 4 (E-furnace)</c:v>
                </c:pt>
                <c:pt idx="12">
                  <c:v>Case 1 (E-furnace w CCS)</c:v>
                </c:pt>
                <c:pt idx="13">
                  <c:v>Case 2 (E-furnace w CCS)</c:v>
                </c:pt>
              </c:strCache>
            </c:strRef>
          </c:cat>
          <c:val>
            <c:numRef>
              <c:f>'3. CEF &amp; EEF'!$E$53:$R$53</c:f>
              <c:numCache>
                <c:formatCode>0.0%</c:formatCode>
                <c:ptCount val="14"/>
                <c:pt idx="0">
                  <c:v>0.16591609885913763</c:v>
                </c:pt>
                <c:pt idx="1">
                  <c:v>0.185482838640704</c:v>
                </c:pt>
                <c:pt idx="2">
                  <c:v>0.22432370158722414</c:v>
                </c:pt>
                <c:pt idx="3">
                  <c:v>0.25241975142900142</c:v>
                </c:pt>
                <c:pt idx="4">
                  <c:v>0.16591609885913763</c:v>
                </c:pt>
                <c:pt idx="5">
                  <c:v>0.185482838640704</c:v>
                </c:pt>
                <c:pt idx="6">
                  <c:v>0.22432370158722414</c:v>
                </c:pt>
                <c:pt idx="7">
                  <c:v>0.25241975142900142</c:v>
                </c:pt>
                <c:pt idx="8">
                  <c:v>0.16590277421547001</c:v>
                </c:pt>
                <c:pt idx="9">
                  <c:v>0.18541661178452734</c:v>
                </c:pt>
                <c:pt idx="10">
                  <c:v>0.22430731236142984</c:v>
                </c:pt>
                <c:pt idx="11">
                  <c:v>0.27472341382924687</c:v>
                </c:pt>
                <c:pt idx="12">
                  <c:v>0.16590277421547001</c:v>
                </c:pt>
                <c:pt idx="13">
                  <c:v>0.18541661178452734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27-46E4-A83F-C861A88B7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085844047"/>
        <c:axId val="1085858191"/>
      </c:barChart>
      <c:scatterChart>
        <c:scatterStyle val="lineMarker"/>
        <c:varyColors val="0"/>
        <c:ser>
          <c:idx val="2"/>
          <c:order val="2"/>
          <c:tx>
            <c:strRef>
              <c:f>'3. CEF &amp; EEF'!$B$54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strRef>
              <c:f>'3. CEF &amp; EEF'!$E$33:$R$33</c:f>
              <c:strCache>
                <c:ptCount val="14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  <c:pt idx="8">
                  <c:v>Case 1 (E-furnace)</c:v>
                </c:pt>
                <c:pt idx="9">
                  <c:v>Case 2 (E-furnace)</c:v>
                </c:pt>
                <c:pt idx="10">
                  <c:v>Case 3 (E-furnace)</c:v>
                </c:pt>
                <c:pt idx="11">
                  <c:v>Case 4 (E-furnace)</c:v>
                </c:pt>
                <c:pt idx="12">
                  <c:v>Case 1 (E-furnace w CCS)</c:v>
                </c:pt>
                <c:pt idx="13">
                  <c:v>Case 2 (E-furnace w CCS)</c:v>
                </c:pt>
              </c:strCache>
            </c:strRef>
          </c:xVal>
          <c:yVal>
            <c:numRef>
              <c:f>'3. CEF &amp; EEF'!$E$54:$R$54</c:f>
              <c:numCache>
                <c:formatCode>0.0%</c:formatCode>
                <c:ptCount val="14"/>
                <c:pt idx="0">
                  <c:v>0.95035247116561072</c:v>
                </c:pt>
                <c:pt idx="1">
                  <c:v>0.90710404591111837</c:v>
                </c:pt>
                <c:pt idx="2">
                  <c:v>0.90185569594966686</c:v>
                </c:pt>
                <c:pt idx="3">
                  <c:v>0.85736060011545234</c:v>
                </c:pt>
                <c:pt idx="4">
                  <c:v>0.95035247116561072</c:v>
                </c:pt>
                <c:pt idx="5">
                  <c:v>0.90710404591111837</c:v>
                </c:pt>
                <c:pt idx="6">
                  <c:v>0.90185569594966686</c:v>
                </c:pt>
                <c:pt idx="7">
                  <c:v>0.85736060011545234</c:v>
                </c:pt>
                <c:pt idx="8">
                  <c:v>0.95027722431840633</c:v>
                </c:pt>
                <c:pt idx="9">
                  <c:v>0.90679660357635861</c:v>
                </c:pt>
                <c:pt idx="10">
                  <c:v>0.90179833232226725</c:v>
                </c:pt>
                <c:pt idx="11">
                  <c:v>0.88892442423531826</c:v>
                </c:pt>
                <c:pt idx="12">
                  <c:v>0.95027722431840633</c:v>
                </c:pt>
                <c:pt idx="13">
                  <c:v>0.90679660357635861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27-46E4-A83F-C861A88B7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844047"/>
        <c:axId val="1085858191"/>
      </c:scatterChart>
      <c:catAx>
        <c:axId val="108584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ko-KR"/>
          </a:p>
        </c:txPr>
        <c:crossAx val="1085858191"/>
        <c:crosses val="autoZero"/>
        <c:auto val="1"/>
        <c:lblAlgn val="ctr"/>
        <c:lblOffset val="100"/>
        <c:noMultiLvlLbl val="0"/>
      </c:catAx>
      <c:valAx>
        <c:axId val="10858581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200" b="1"/>
                  <a:t>Carbon efficiency – CEF (%)</a:t>
                </a:r>
              </a:p>
            </c:rich>
          </c:tx>
          <c:layout>
            <c:manualLayout>
              <c:xMode val="edge"/>
              <c:yMode val="edge"/>
              <c:x val="0"/>
              <c:y val="0.12067773500160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ko-KR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ko-KR"/>
          </a:p>
        </c:txPr>
        <c:crossAx val="1085844047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15724542054144799"/>
          <c:y val="5.691663993155812E-2"/>
          <c:w val="0.27345086320261464"/>
          <c:h val="7.9210512244679718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Garamond" panose="02020404030301010803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350651149903021"/>
          <c:y val="3.9661533525826118E-2"/>
          <c:w val="0.84578969243557767"/>
          <c:h val="0.6862073575018714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'3. CEF &amp; EEF'!$B$87</c:f>
              <c:strCache>
                <c:ptCount val="1"/>
                <c:pt idx="0">
                  <c:v>Ethylene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CEF &amp; EEF'!$E$58:$R$58</c:f>
              <c:strCache>
                <c:ptCount val="14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  <c:pt idx="8">
                  <c:v>Case 1 (E-furnace)</c:v>
                </c:pt>
                <c:pt idx="9">
                  <c:v>Case 2 (E-furnace)</c:v>
                </c:pt>
                <c:pt idx="10">
                  <c:v>Case 3 (E-furnace)</c:v>
                </c:pt>
                <c:pt idx="11">
                  <c:v>Case 4 (E-furnace)</c:v>
                </c:pt>
                <c:pt idx="12">
                  <c:v>Case 1 (E-furnace w CCS)</c:v>
                </c:pt>
                <c:pt idx="13">
                  <c:v>Case 2 (E-furnace w CCS)</c:v>
                </c:pt>
              </c:strCache>
            </c:strRef>
          </c:cat>
          <c:val>
            <c:numRef>
              <c:f>'3. CEF &amp; EEF'!$E$87:$R$87</c:f>
              <c:numCache>
                <c:formatCode>0.0%</c:formatCode>
                <c:ptCount val="14"/>
                <c:pt idx="0">
                  <c:v>0.25950317730640177</c:v>
                </c:pt>
                <c:pt idx="1">
                  <c:v>0.27801678026057214</c:v>
                </c:pt>
                <c:pt idx="2">
                  <c:v>0.28818219203915479</c:v>
                </c:pt>
                <c:pt idx="3">
                  <c:v>0.27587857157256856</c:v>
                </c:pt>
                <c:pt idx="4">
                  <c:v>0.22723695706141489</c:v>
                </c:pt>
                <c:pt idx="5">
                  <c:v>0.24450149566798046</c:v>
                </c:pt>
                <c:pt idx="6">
                  <c:v>0.25644529649817738</c:v>
                </c:pt>
                <c:pt idx="7">
                  <c:v>0.24797732099808104</c:v>
                </c:pt>
                <c:pt idx="8">
                  <c:v>0.30374122545584603</c:v>
                </c:pt>
                <c:pt idx="9">
                  <c:v>0.31872154020737675</c:v>
                </c:pt>
                <c:pt idx="10">
                  <c:v>0.32727442670667928</c:v>
                </c:pt>
                <c:pt idx="11">
                  <c:v>0.31520161228169563</c:v>
                </c:pt>
                <c:pt idx="12">
                  <c:v>0.34307036247334755</c:v>
                </c:pt>
                <c:pt idx="13">
                  <c:v>0.31490741662284344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8-4370-9BAC-B26A558E5182}"/>
            </c:ext>
          </c:extLst>
        </c:ser>
        <c:ser>
          <c:idx val="1"/>
          <c:order val="1"/>
          <c:tx>
            <c:strRef>
              <c:f>'3. CEF &amp; EEF'!$B$88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80-4CBD-B48A-C1F933DCFD7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80-4CBD-B48A-C1F933DCFD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CEF &amp; EEF'!$E$58:$R$58</c:f>
              <c:strCache>
                <c:ptCount val="14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  <c:pt idx="8">
                  <c:v>Case 1 (E-furnace)</c:v>
                </c:pt>
                <c:pt idx="9">
                  <c:v>Case 2 (E-furnace)</c:v>
                </c:pt>
                <c:pt idx="10">
                  <c:v>Case 3 (E-furnace)</c:v>
                </c:pt>
                <c:pt idx="11">
                  <c:v>Case 4 (E-furnace)</c:v>
                </c:pt>
                <c:pt idx="12">
                  <c:v>Case 1 (E-furnace w CCS)</c:v>
                </c:pt>
                <c:pt idx="13">
                  <c:v>Case 2 (E-furnace w CCS)</c:v>
                </c:pt>
              </c:strCache>
            </c:strRef>
          </c:cat>
          <c:val>
            <c:numRef>
              <c:f>'3. CEF &amp; EEF'!$E$88:$R$88</c:f>
              <c:numCache>
                <c:formatCode>0.0%</c:formatCode>
                <c:ptCount val="14"/>
                <c:pt idx="0">
                  <c:v>0.1471261297865743</c:v>
                </c:pt>
                <c:pt idx="1">
                  <c:v>0.18041430227541302</c:v>
                </c:pt>
                <c:pt idx="2">
                  <c:v>0.20448019674691009</c:v>
                </c:pt>
                <c:pt idx="3">
                  <c:v>0.22993067970861203</c:v>
                </c:pt>
                <c:pt idx="4">
                  <c:v>0.12883269632359595</c:v>
                </c:pt>
                <c:pt idx="5">
                  <c:v>0.15866512339611266</c:v>
                </c:pt>
                <c:pt idx="6">
                  <c:v>0.18196122498659584</c:v>
                </c:pt>
                <c:pt idx="7">
                  <c:v>0.20667641435286765</c:v>
                </c:pt>
                <c:pt idx="8">
                  <c:v>0.17395973452503113</c:v>
                </c:pt>
                <c:pt idx="9">
                  <c:v>0.21154702470102046</c:v>
                </c:pt>
                <c:pt idx="10">
                  <c:v>0.23787146950283844</c:v>
                </c:pt>
                <c:pt idx="11">
                  <c:v>0.26032974273642528</c:v>
                </c:pt>
                <c:pt idx="12">
                  <c:v>0</c:v>
                </c:pt>
                <c:pt idx="13">
                  <c:v>0.20901545279776906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38-4370-9BAC-B26A558E5182}"/>
            </c:ext>
          </c:extLst>
        </c:ser>
        <c:ser>
          <c:idx val="2"/>
          <c:order val="2"/>
          <c:tx>
            <c:strRef>
              <c:f>'3. CEF &amp; EEF'!$B$89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ysClr val="window" lastClr="FFFFFF">
                <a:lumMod val="85000"/>
              </a:sys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CEF &amp; EEF'!$E$58:$R$58</c:f>
              <c:strCache>
                <c:ptCount val="14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  <c:pt idx="8">
                  <c:v>Case 1 (E-furnace)</c:v>
                </c:pt>
                <c:pt idx="9">
                  <c:v>Case 2 (E-furnace)</c:v>
                </c:pt>
                <c:pt idx="10">
                  <c:v>Case 3 (E-furnace)</c:v>
                </c:pt>
                <c:pt idx="11">
                  <c:v>Case 4 (E-furnace)</c:v>
                </c:pt>
                <c:pt idx="12">
                  <c:v>Case 1 (E-furnace w CCS)</c:v>
                </c:pt>
                <c:pt idx="13">
                  <c:v>Case 2 (E-furnace w CCS)</c:v>
                </c:pt>
              </c:strCache>
            </c:strRef>
          </c:cat>
          <c:val>
            <c:numRef>
              <c:f>'3. CEF &amp; EEF'!$E$89:$R$89</c:f>
              <c:numCache>
                <c:formatCode>0.0%</c:formatCode>
                <c:ptCount val="14"/>
                <c:pt idx="0">
                  <c:v>4.6908476561019569E-2</c:v>
                </c:pt>
                <c:pt idx="1">
                  <c:v>5.910827794396431E-2</c:v>
                </c:pt>
                <c:pt idx="2">
                  <c:v>7.7491847239994513E-2</c:v>
                </c:pt>
                <c:pt idx="3">
                  <c:v>9.1487183067121683E-2</c:v>
                </c:pt>
                <c:pt idx="4">
                  <c:v>4.1075949761983248E-2</c:v>
                </c:pt>
                <c:pt idx="5">
                  <c:v>5.1982698131072279E-2</c:v>
                </c:pt>
                <c:pt idx="6">
                  <c:v>6.895783393497068E-2</c:v>
                </c:pt>
                <c:pt idx="7">
                  <c:v>8.2234536859192756E-2</c:v>
                </c:pt>
                <c:pt idx="8">
                  <c:v>5.4905043430501926E-2</c:v>
                </c:pt>
                <c:pt idx="9">
                  <c:v>6.7761186354713773E-2</c:v>
                </c:pt>
                <c:pt idx="10">
                  <c:v>8.8002892356141865E-2</c:v>
                </c:pt>
                <c:pt idx="11">
                  <c:v>0.1132870248323208</c:v>
                </c:pt>
                <c:pt idx="12">
                  <c:v>7.7398720682302774E-2</c:v>
                </c:pt>
                <c:pt idx="13">
                  <c:v>6.695029187038333E-2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38-4370-9BAC-B26A558E5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085844047"/>
        <c:axId val="1085858191"/>
      </c:barChart>
      <c:scatterChart>
        <c:scatterStyle val="lineMarker"/>
        <c:varyColors val="0"/>
        <c:ser>
          <c:idx val="3"/>
          <c:order val="3"/>
          <c:tx>
            <c:strRef>
              <c:f>'3. CEF &amp; EEF'!$B$90</c:f>
              <c:strCache>
                <c:ptCount val="1"/>
                <c:pt idx="0">
                  <c:v>EEF - 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'3. CEF &amp; EEF'!$E$58:$R$58</c:f>
              <c:strCache>
                <c:ptCount val="14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  <c:pt idx="8">
                  <c:v>Case 1 (E-furnace)</c:v>
                </c:pt>
                <c:pt idx="9">
                  <c:v>Case 2 (E-furnace)</c:v>
                </c:pt>
                <c:pt idx="10">
                  <c:v>Case 3 (E-furnace)</c:v>
                </c:pt>
                <c:pt idx="11">
                  <c:v>Case 4 (E-furnace)</c:v>
                </c:pt>
                <c:pt idx="12">
                  <c:v>Case 1 (E-furnace w CCS)</c:v>
                </c:pt>
                <c:pt idx="13">
                  <c:v>Case 2 (E-furnace w CCS)</c:v>
                </c:pt>
              </c:strCache>
            </c:strRef>
          </c:xVal>
          <c:yVal>
            <c:numRef>
              <c:f>'3. CEF &amp; EEF'!$E$90:$R$90</c:f>
            </c:numRef>
          </c:yVal>
          <c:smooth val="0"/>
          <c:extLst>
            <c:ext xmlns:c16="http://schemas.microsoft.com/office/drawing/2014/chart" uri="{C3380CC4-5D6E-409C-BE32-E72D297353CC}">
              <c16:uniqueId val="{00000005-BC38-4370-9BAC-B26A558E5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844047"/>
        <c:axId val="1085858191"/>
      </c:scatterChart>
      <c:catAx>
        <c:axId val="108584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ko-KR"/>
          </a:p>
        </c:txPr>
        <c:crossAx val="1085858191"/>
        <c:crosses val="autoZero"/>
        <c:auto val="1"/>
        <c:lblAlgn val="ctr"/>
        <c:lblOffset val="100"/>
        <c:noMultiLvlLbl val="0"/>
      </c:catAx>
      <c:valAx>
        <c:axId val="10858581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200" b="1" dirty="0"/>
                  <a:t>Energy efficiency – EEF (%)</a:t>
                </a:r>
              </a:p>
            </c:rich>
          </c:tx>
          <c:layout>
            <c:manualLayout>
              <c:xMode val="edge"/>
              <c:yMode val="edge"/>
              <c:x val="0"/>
              <c:y val="0.181794285282262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ko-KR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ko-KR"/>
          </a:p>
        </c:txPr>
        <c:crossAx val="1085844047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5385078969243557"/>
          <c:y val="5.8277991658646104E-2"/>
          <c:w val="0.23354160894061143"/>
          <c:h val="0.12344054111859694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+mn-cs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397222222222222"/>
          <c:y val="9.5597601174043492E-2"/>
          <c:w val="0.78310826066096573"/>
          <c:h val="0.7954466174897949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'3. CEF &amp; EEF'!$B$52</c:f>
              <c:strCache>
                <c:ptCount val="1"/>
                <c:pt idx="0">
                  <c:v>Ethylene</c:v>
                </c:pt>
              </c:strCache>
            </c:strRef>
          </c:tx>
          <c:spPr>
            <a:solidFill>
              <a:srgbClr val="A5B59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EEF'!$E$52:$I$52</c:f>
              <c:numCache>
                <c:formatCode>0.0%</c:formatCode>
                <c:ptCount val="5"/>
                <c:pt idx="0">
                  <c:v>0.78443637230647312</c:v>
                </c:pt>
                <c:pt idx="1">
                  <c:v>0.72162120727041434</c:v>
                </c:pt>
                <c:pt idx="2">
                  <c:v>0.67753199436244271</c:v>
                </c:pt>
                <c:pt idx="3">
                  <c:v>0.60494084868645093</c:v>
                </c:pt>
                <c:pt idx="4">
                  <c:v>0.78443637230647312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2-4237-A5C3-6CABD8E30922}"/>
            </c:ext>
          </c:extLst>
        </c:ser>
        <c:ser>
          <c:idx val="1"/>
          <c:order val="1"/>
          <c:tx>
            <c:strRef>
              <c:f>'3. CEF &amp; EEF'!$B$53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E7BC29"/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EEF'!$E$53:$I$53</c:f>
              <c:numCache>
                <c:formatCode>0.0%</c:formatCode>
                <c:ptCount val="5"/>
                <c:pt idx="0">
                  <c:v>0.16591609885913763</c:v>
                </c:pt>
                <c:pt idx="1">
                  <c:v>0.185482838640704</c:v>
                </c:pt>
                <c:pt idx="2">
                  <c:v>0.22432370158722414</c:v>
                </c:pt>
                <c:pt idx="3">
                  <c:v>0.25241975142900142</c:v>
                </c:pt>
                <c:pt idx="4">
                  <c:v>0.16591609885913763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F2-4237-A5C3-6CABD8E30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85844047"/>
        <c:axId val="1085858191"/>
      </c:barChart>
      <c:scatterChart>
        <c:scatterStyle val="lineMarker"/>
        <c:varyColors val="0"/>
        <c:ser>
          <c:idx val="2"/>
          <c:order val="2"/>
          <c:tx>
            <c:strRef>
              <c:f>'3. CEF &amp; EEF'!$B$54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xVal>
          <c:yVal>
            <c:numRef>
              <c:f>'3. CEF &amp; EEF'!$E$54:$I$54</c:f>
              <c:numCache>
                <c:formatCode>0.0%</c:formatCode>
                <c:ptCount val="5"/>
                <c:pt idx="0">
                  <c:v>0.95035247116561072</c:v>
                </c:pt>
                <c:pt idx="1">
                  <c:v>0.90710404591111837</c:v>
                </c:pt>
                <c:pt idx="2">
                  <c:v>0.90185569594966686</c:v>
                </c:pt>
                <c:pt idx="3">
                  <c:v>0.85736060011545234</c:v>
                </c:pt>
                <c:pt idx="4">
                  <c:v>0.95035247116561072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F2-4237-A5C3-6CABD8E30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844047"/>
        <c:axId val="1085858191"/>
      </c:scatterChart>
      <c:catAx>
        <c:axId val="108584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1085858191"/>
        <c:crosses val="autoZero"/>
        <c:auto val="1"/>
        <c:lblAlgn val="ctr"/>
        <c:lblOffset val="100"/>
        <c:noMultiLvlLbl val="0"/>
      </c:catAx>
      <c:valAx>
        <c:axId val="1085858191"/>
        <c:scaling>
          <c:orientation val="minMax"/>
          <c:max val="1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dirty="0"/>
                  <a:t>Carbon efficiency (%)</a:t>
                </a:r>
              </a:p>
            </c:rich>
          </c:tx>
          <c:layout>
            <c:manualLayout>
              <c:xMode val="edge"/>
              <c:yMode val="edge"/>
              <c:x val="0"/>
              <c:y val="0.226956489567679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1085844047"/>
        <c:crosses val="autoZero"/>
        <c:crossBetween val="between"/>
        <c:majorUnit val="0.2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25886521314878552"/>
          <c:y val="1.9445535763049011E-3"/>
          <c:w val="0.67032569444444434"/>
          <c:h val="9.5991356756652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397222222222222"/>
          <c:y val="9.5597601174043492E-2"/>
          <c:w val="0.78310826066096573"/>
          <c:h val="0.7954466174897949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'3. CEF &amp; EEF'!$B$87</c:f>
              <c:strCache>
                <c:ptCount val="1"/>
                <c:pt idx="0">
                  <c:v>Ethylene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EEF'!$E$87:$I$87</c:f>
              <c:numCache>
                <c:formatCode>0.0%</c:formatCode>
                <c:ptCount val="5"/>
                <c:pt idx="0">
                  <c:v>0.25950317730640177</c:v>
                </c:pt>
                <c:pt idx="1">
                  <c:v>0.27801678026057214</c:v>
                </c:pt>
                <c:pt idx="2">
                  <c:v>0.28818219203915479</c:v>
                </c:pt>
                <c:pt idx="3">
                  <c:v>0.27587857157256856</c:v>
                </c:pt>
                <c:pt idx="4">
                  <c:v>0.22723695706141489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0-4676-BF76-9E1813E58D20}"/>
            </c:ext>
          </c:extLst>
        </c:ser>
        <c:ser>
          <c:idx val="1"/>
          <c:order val="1"/>
          <c:tx>
            <c:strRef>
              <c:f>'3. CEF &amp; EEF'!$B$88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EEF'!$E$88:$I$88</c:f>
              <c:numCache>
                <c:formatCode>0.0%</c:formatCode>
                <c:ptCount val="5"/>
                <c:pt idx="0">
                  <c:v>0.1471261297865743</c:v>
                </c:pt>
                <c:pt idx="1">
                  <c:v>0.18041430227541302</c:v>
                </c:pt>
                <c:pt idx="2">
                  <c:v>0.20448019674691009</c:v>
                </c:pt>
                <c:pt idx="3">
                  <c:v>0.22993067970861203</c:v>
                </c:pt>
                <c:pt idx="4">
                  <c:v>0.12883269632359595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10-4676-BF76-9E1813E58D20}"/>
            </c:ext>
          </c:extLst>
        </c:ser>
        <c:ser>
          <c:idx val="2"/>
          <c:order val="2"/>
          <c:tx>
            <c:strRef>
              <c:f>'3. CEF &amp; EEF'!$B$89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EEF'!$E$89:$I$89</c:f>
              <c:numCache>
                <c:formatCode>0.0%</c:formatCode>
                <c:ptCount val="5"/>
                <c:pt idx="0">
                  <c:v>4.6908476561019569E-2</c:v>
                </c:pt>
                <c:pt idx="1">
                  <c:v>5.910827794396431E-2</c:v>
                </c:pt>
                <c:pt idx="2">
                  <c:v>7.7491847239994513E-2</c:v>
                </c:pt>
                <c:pt idx="3">
                  <c:v>9.1487183067121683E-2</c:v>
                </c:pt>
                <c:pt idx="4">
                  <c:v>4.1075949761983248E-2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10-4676-BF76-9E1813E58D20}"/>
            </c:ext>
          </c:extLst>
        </c:ser>
        <c:ser>
          <c:idx val="3"/>
          <c:order val="3"/>
          <c:tx>
            <c:strRef>
              <c:f>'3. CEF &amp; EEF'!$B$90</c:f>
              <c:strCache>
                <c:ptCount val="1"/>
                <c:pt idx="0">
                  <c:v>EEF - 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EEF'!$E$90:$I$90</c:f>
            </c:numRef>
          </c:val>
          <c:extLst>
            <c:ext xmlns:c16="http://schemas.microsoft.com/office/drawing/2014/chart" uri="{C3380CC4-5D6E-409C-BE32-E72D297353CC}">
              <c16:uniqueId val="{00000003-A510-4676-BF76-9E1813E58D20}"/>
            </c:ext>
          </c:extLst>
        </c:ser>
        <c:ser>
          <c:idx val="4"/>
          <c:order val="4"/>
          <c:tx>
            <c:strRef>
              <c:f>'3. CEF &amp; EEF'!$B$91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EEF'!$E$91:$I$91</c:f>
            </c:numRef>
          </c:val>
          <c:extLst>
            <c:ext xmlns:c16="http://schemas.microsoft.com/office/drawing/2014/chart" uri="{C3380CC4-5D6E-409C-BE32-E72D297353CC}">
              <c16:uniqueId val="{00000004-A510-4676-BF76-9E1813E58D20}"/>
            </c:ext>
          </c:extLst>
        </c:ser>
        <c:ser>
          <c:idx val="5"/>
          <c:order val="5"/>
          <c:tx>
            <c:strRef>
              <c:f>'3. CEF &amp; EEF'!$B$92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EEF'!$E$92:$I$92</c:f>
            </c:numRef>
          </c:val>
          <c:extLst>
            <c:ext xmlns:c16="http://schemas.microsoft.com/office/drawing/2014/chart" uri="{C3380CC4-5D6E-409C-BE32-E72D297353CC}">
              <c16:uniqueId val="{00000005-A510-4676-BF76-9E1813E58D20}"/>
            </c:ext>
          </c:extLst>
        </c:ser>
        <c:ser>
          <c:idx val="6"/>
          <c:order val="6"/>
          <c:tx>
            <c:strRef>
              <c:f>'3. CEF &amp; EEF'!$B$93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EEF'!$E$93:$I$93</c:f>
            </c:numRef>
          </c:val>
          <c:extLst>
            <c:ext xmlns:c16="http://schemas.microsoft.com/office/drawing/2014/chart" uri="{C3380CC4-5D6E-409C-BE32-E72D297353CC}">
              <c16:uniqueId val="{00000006-A510-4676-BF76-9E1813E58D20}"/>
            </c:ext>
          </c:extLst>
        </c:ser>
        <c:ser>
          <c:idx val="7"/>
          <c:order val="7"/>
          <c:tx>
            <c:strRef>
              <c:f>'3. CEF &amp; EEF'!$B$94</c:f>
              <c:strCache>
                <c:ptCount val="1"/>
                <c:pt idx="0">
                  <c:v>Case1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EEF'!$E$94:$I$94</c:f>
            </c:numRef>
          </c:val>
          <c:extLst>
            <c:ext xmlns:c16="http://schemas.microsoft.com/office/drawing/2014/chart" uri="{C3380CC4-5D6E-409C-BE32-E72D297353CC}">
              <c16:uniqueId val="{00000007-A510-4676-BF76-9E1813E58D20}"/>
            </c:ext>
          </c:extLst>
        </c:ser>
        <c:ser>
          <c:idx val="8"/>
          <c:order val="8"/>
          <c:tx>
            <c:strRef>
              <c:f>'3. CEF &amp; EEF'!$B$95</c:f>
              <c:strCache>
                <c:ptCount val="1"/>
                <c:pt idx="0">
                  <c:v>[Carbon] (kmol/h)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EEF'!$E$95:$I$95</c:f>
            </c:numRef>
          </c:val>
          <c:extLst>
            <c:ext xmlns:c16="http://schemas.microsoft.com/office/drawing/2014/chart" uri="{C3380CC4-5D6E-409C-BE32-E72D297353CC}">
              <c16:uniqueId val="{00000008-A510-4676-BF76-9E1813E58D20}"/>
            </c:ext>
          </c:extLst>
        </c:ser>
        <c:ser>
          <c:idx val="9"/>
          <c:order val="9"/>
          <c:tx>
            <c:strRef>
              <c:f>'3. CEF &amp; EEF'!$B$96</c:f>
              <c:strCache>
                <c:ptCount val="1"/>
                <c:pt idx="0">
                  <c:v>[Energy] (kWh)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EEF'!$E$96:$I$96</c:f>
            </c:numRef>
          </c:val>
          <c:extLst>
            <c:ext xmlns:c16="http://schemas.microsoft.com/office/drawing/2014/chart" uri="{C3380CC4-5D6E-409C-BE32-E72D297353CC}">
              <c16:uniqueId val="{00000009-A510-4676-BF76-9E1813E58D20}"/>
            </c:ext>
          </c:extLst>
        </c:ser>
        <c:ser>
          <c:idx val="10"/>
          <c:order val="10"/>
          <c:tx>
            <c:strRef>
              <c:f>'3. CEF &amp; EEF'!$B$97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EEF'!$E$97:$I$97</c:f>
            </c:numRef>
          </c:val>
          <c:extLst>
            <c:ext xmlns:c16="http://schemas.microsoft.com/office/drawing/2014/chart" uri="{C3380CC4-5D6E-409C-BE32-E72D297353CC}">
              <c16:uniqueId val="{0000000A-A510-4676-BF76-9E1813E58D20}"/>
            </c:ext>
          </c:extLst>
        </c:ser>
        <c:ser>
          <c:idx val="11"/>
          <c:order val="11"/>
          <c:tx>
            <c:strRef>
              <c:f>'3. CEF &amp; EEF'!$B$98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EEF'!$E$98:$I$98</c:f>
            </c:numRef>
          </c:val>
          <c:extLst>
            <c:ext xmlns:c16="http://schemas.microsoft.com/office/drawing/2014/chart" uri="{C3380CC4-5D6E-409C-BE32-E72D297353CC}">
              <c16:uniqueId val="{0000000B-A510-4676-BF76-9E1813E58D20}"/>
            </c:ext>
          </c:extLst>
        </c:ser>
        <c:ser>
          <c:idx val="12"/>
          <c:order val="12"/>
          <c:tx>
            <c:strRef>
              <c:f>'3. CEF &amp; EEF'!$B$99</c:f>
              <c:strCache>
                <c:ptCount val="1"/>
                <c:pt idx="0">
                  <c:v>Description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EEF'!$E$99:$I$99</c:f>
            </c:numRef>
          </c:val>
          <c:extLst>
            <c:ext xmlns:c16="http://schemas.microsoft.com/office/drawing/2014/chart" uri="{C3380CC4-5D6E-409C-BE32-E72D297353CC}">
              <c16:uniqueId val="{0000000C-A510-4676-BF76-9E1813E58D20}"/>
            </c:ext>
          </c:extLst>
        </c:ser>
        <c:ser>
          <c:idx val="13"/>
          <c:order val="13"/>
          <c:tx>
            <c:strRef>
              <c:f>'3. CEF &amp; EEF'!$B$100</c:f>
              <c:strCache>
                <c:ptCount val="1"/>
                <c:pt idx="0">
                  <c:v>From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EEF'!$E$100:$I$100</c:f>
            </c:numRef>
          </c:val>
          <c:extLst>
            <c:ext xmlns:c16="http://schemas.microsoft.com/office/drawing/2014/chart" uri="{C3380CC4-5D6E-409C-BE32-E72D297353CC}">
              <c16:uniqueId val="{0000000D-A510-4676-BF76-9E1813E58D20}"/>
            </c:ext>
          </c:extLst>
        </c:ser>
        <c:ser>
          <c:idx val="14"/>
          <c:order val="14"/>
          <c:tx>
            <c:strRef>
              <c:f>'3. CEF &amp; EEF'!$B$101</c:f>
              <c:strCache>
                <c:ptCount val="1"/>
                <c:pt idx="0">
                  <c:v>To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EEF'!$E$101:$I$101</c:f>
            </c:numRef>
          </c:val>
          <c:extLst>
            <c:ext xmlns:c16="http://schemas.microsoft.com/office/drawing/2014/chart" uri="{C3380CC4-5D6E-409C-BE32-E72D297353CC}">
              <c16:uniqueId val="{0000000E-A510-4676-BF76-9E1813E58D20}"/>
            </c:ext>
          </c:extLst>
        </c:ser>
        <c:ser>
          <c:idx val="15"/>
          <c:order val="15"/>
          <c:tx>
            <c:strRef>
              <c:f>'3. CEF &amp; EEF'!$B$102</c:f>
              <c:strCache>
                <c:ptCount val="1"/>
                <c:pt idx="0">
                  <c:v>Stream Class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EEF'!$E$102:$I$102</c:f>
            </c:numRef>
          </c:val>
          <c:extLst>
            <c:ext xmlns:c16="http://schemas.microsoft.com/office/drawing/2014/chart" uri="{C3380CC4-5D6E-409C-BE32-E72D297353CC}">
              <c16:uniqueId val="{0000000F-A510-4676-BF76-9E1813E58D20}"/>
            </c:ext>
          </c:extLst>
        </c:ser>
        <c:ser>
          <c:idx val="16"/>
          <c:order val="16"/>
          <c:tx>
            <c:strRef>
              <c:f>'3. CEF &amp; EEF'!$B$103</c:f>
              <c:strCache>
                <c:ptCount val="1"/>
                <c:pt idx="0">
                  <c:v>Maximum Relative Error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EEF'!$E$103:$I$103</c:f>
            </c:numRef>
          </c:val>
          <c:extLst>
            <c:ext xmlns:c16="http://schemas.microsoft.com/office/drawing/2014/chart" uri="{C3380CC4-5D6E-409C-BE32-E72D297353CC}">
              <c16:uniqueId val="{00000010-A510-4676-BF76-9E1813E58D20}"/>
            </c:ext>
          </c:extLst>
        </c:ser>
        <c:ser>
          <c:idx val="17"/>
          <c:order val="17"/>
          <c:tx>
            <c:strRef>
              <c:f>'3. CEF &amp; EEF'!$B$104</c:f>
              <c:strCache>
                <c:ptCount val="1"/>
                <c:pt idx="0">
                  <c:v>Cost Flow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EEF'!$E$104:$I$104</c:f>
            </c:numRef>
          </c:val>
          <c:extLst>
            <c:ext xmlns:c16="http://schemas.microsoft.com/office/drawing/2014/chart" uri="{C3380CC4-5D6E-409C-BE32-E72D297353CC}">
              <c16:uniqueId val="{00000011-A510-4676-BF76-9E1813E58D20}"/>
            </c:ext>
          </c:extLst>
        </c:ser>
        <c:ser>
          <c:idx val="18"/>
          <c:order val="18"/>
          <c:tx>
            <c:strRef>
              <c:f>'3. CEF &amp; EEF'!$B$105</c:f>
              <c:strCache>
                <c:ptCount val="1"/>
                <c:pt idx="0">
                  <c:v>MIXED Substream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EEF'!$E$105:$I$105</c:f>
            </c:numRef>
          </c:val>
          <c:extLst>
            <c:ext xmlns:c16="http://schemas.microsoft.com/office/drawing/2014/chart" uri="{C3380CC4-5D6E-409C-BE32-E72D297353CC}">
              <c16:uniqueId val="{00000012-A510-4676-BF76-9E1813E58D20}"/>
            </c:ext>
          </c:extLst>
        </c:ser>
        <c:ser>
          <c:idx val="19"/>
          <c:order val="19"/>
          <c:tx>
            <c:strRef>
              <c:f>'3. CEF &amp; EEF'!$B$106</c:f>
              <c:strCache>
                <c:ptCount val="1"/>
                <c:pt idx="0">
                  <c:v>Phase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EEF'!$E$106:$I$106</c:f>
            </c:numRef>
          </c:val>
          <c:extLst>
            <c:ext xmlns:c16="http://schemas.microsoft.com/office/drawing/2014/chart" uri="{C3380CC4-5D6E-409C-BE32-E72D297353CC}">
              <c16:uniqueId val="{00000013-A510-4676-BF76-9E1813E58D20}"/>
            </c:ext>
          </c:extLst>
        </c:ser>
        <c:ser>
          <c:idx val="20"/>
          <c:order val="20"/>
          <c:tx>
            <c:strRef>
              <c:f>'3. CEF &amp; EEF'!$B$107</c:f>
              <c:strCache>
                <c:ptCount val="1"/>
                <c:pt idx="0">
                  <c:v>Temperature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EEF'!$E$107:$I$107</c:f>
            </c:numRef>
          </c:val>
          <c:extLst>
            <c:ext xmlns:c16="http://schemas.microsoft.com/office/drawing/2014/chart" uri="{C3380CC4-5D6E-409C-BE32-E72D297353CC}">
              <c16:uniqueId val="{00000014-A510-4676-BF76-9E1813E58D20}"/>
            </c:ext>
          </c:extLst>
        </c:ser>
        <c:ser>
          <c:idx val="21"/>
          <c:order val="21"/>
          <c:tx>
            <c:strRef>
              <c:f>'3. CEF &amp; EEF'!$B$108</c:f>
              <c:strCache>
                <c:ptCount val="1"/>
                <c:pt idx="0">
                  <c:v>Pressure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EEF'!$E$108:$I$108</c:f>
            </c:numRef>
          </c:val>
          <c:extLst>
            <c:ext xmlns:c16="http://schemas.microsoft.com/office/drawing/2014/chart" uri="{C3380CC4-5D6E-409C-BE32-E72D297353CC}">
              <c16:uniqueId val="{00000015-A510-4676-BF76-9E1813E58D20}"/>
            </c:ext>
          </c:extLst>
        </c:ser>
        <c:ser>
          <c:idx val="22"/>
          <c:order val="22"/>
          <c:tx>
            <c:strRef>
              <c:f>'3. CEF &amp; EEF'!$B$109</c:f>
              <c:strCache>
                <c:ptCount val="1"/>
                <c:pt idx="0">
                  <c:v>Molar Vapor Fraction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EEF'!$E$109:$I$109</c:f>
            </c:numRef>
          </c:val>
          <c:extLst>
            <c:ext xmlns:c16="http://schemas.microsoft.com/office/drawing/2014/chart" uri="{C3380CC4-5D6E-409C-BE32-E72D297353CC}">
              <c16:uniqueId val="{00000016-A510-4676-BF76-9E1813E58D20}"/>
            </c:ext>
          </c:extLst>
        </c:ser>
        <c:ser>
          <c:idx val="23"/>
          <c:order val="23"/>
          <c:tx>
            <c:strRef>
              <c:f>'3. CEF &amp; EEF'!$B$110</c:f>
              <c:strCache>
                <c:ptCount val="1"/>
                <c:pt idx="0">
                  <c:v>Molar Liquid Fraction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EEF'!$E$110:$I$110</c:f>
            </c:numRef>
          </c:val>
          <c:extLst>
            <c:ext xmlns:c16="http://schemas.microsoft.com/office/drawing/2014/chart" uri="{C3380CC4-5D6E-409C-BE32-E72D297353CC}">
              <c16:uniqueId val="{00000017-A510-4676-BF76-9E1813E58D20}"/>
            </c:ext>
          </c:extLst>
        </c:ser>
        <c:ser>
          <c:idx val="24"/>
          <c:order val="24"/>
          <c:tx>
            <c:strRef>
              <c:f>'3. CEF &amp; EEF'!$B$111</c:f>
              <c:strCache>
                <c:ptCount val="1"/>
                <c:pt idx="0">
                  <c:v>Molar Solid Fraction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EEF'!$E$111:$I$111</c:f>
            </c:numRef>
          </c:val>
          <c:extLst>
            <c:ext xmlns:c16="http://schemas.microsoft.com/office/drawing/2014/chart" uri="{C3380CC4-5D6E-409C-BE32-E72D297353CC}">
              <c16:uniqueId val="{00000018-A510-4676-BF76-9E1813E58D20}"/>
            </c:ext>
          </c:extLst>
        </c:ser>
        <c:ser>
          <c:idx val="25"/>
          <c:order val="25"/>
          <c:tx>
            <c:strRef>
              <c:f>'3. CEF &amp; EEF'!$B$112</c:f>
              <c:strCache>
                <c:ptCount val="1"/>
                <c:pt idx="0">
                  <c:v>Mass Vapor Fraction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EEF'!$E$112:$I$112</c:f>
            </c:numRef>
          </c:val>
          <c:extLst>
            <c:ext xmlns:c16="http://schemas.microsoft.com/office/drawing/2014/chart" uri="{C3380CC4-5D6E-409C-BE32-E72D297353CC}">
              <c16:uniqueId val="{00000019-A510-4676-BF76-9E1813E58D20}"/>
            </c:ext>
          </c:extLst>
        </c:ser>
        <c:ser>
          <c:idx val="26"/>
          <c:order val="26"/>
          <c:tx>
            <c:strRef>
              <c:f>'3. CEF &amp; EEF'!$B$113</c:f>
              <c:strCache>
                <c:ptCount val="1"/>
                <c:pt idx="0">
                  <c:v>Mass Liquid Fraction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EEF'!$E$113:$I$113</c:f>
            </c:numRef>
          </c:val>
          <c:extLst>
            <c:ext xmlns:c16="http://schemas.microsoft.com/office/drawing/2014/chart" uri="{C3380CC4-5D6E-409C-BE32-E72D297353CC}">
              <c16:uniqueId val="{0000001A-A510-4676-BF76-9E1813E58D20}"/>
            </c:ext>
          </c:extLst>
        </c:ser>
        <c:ser>
          <c:idx val="27"/>
          <c:order val="27"/>
          <c:tx>
            <c:strRef>
              <c:f>'3. CEF &amp; EEF'!$B$114</c:f>
              <c:strCache>
                <c:ptCount val="1"/>
                <c:pt idx="0">
                  <c:v>Mass Solid Fraction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EEF'!$E$114:$I$114</c:f>
            </c:numRef>
          </c:val>
          <c:extLst>
            <c:ext xmlns:c16="http://schemas.microsoft.com/office/drawing/2014/chart" uri="{C3380CC4-5D6E-409C-BE32-E72D297353CC}">
              <c16:uniqueId val="{0000001B-A510-4676-BF76-9E1813E58D20}"/>
            </c:ext>
          </c:extLst>
        </c:ser>
        <c:ser>
          <c:idx val="28"/>
          <c:order val="28"/>
          <c:tx>
            <c:strRef>
              <c:f>'3. CEF &amp; EEF'!$B$115</c:f>
              <c:strCache>
                <c:ptCount val="1"/>
                <c:pt idx="0">
                  <c:v>Molar Enthalpy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EEF'!$E$115:$I$115</c:f>
            </c:numRef>
          </c:val>
          <c:extLst>
            <c:ext xmlns:c16="http://schemas.microsoft.com/office/drawing/2014/chart" uri="{C3380CC4-5D6E-409C-BE32-E72D297353CC}">
              <c16:uniqueId val="{0000001C-A510-4676-BF76-9E1813E58D20}"/>
            </c:ext>
          </c:extLst>
        </c:ser>
        <c:ser>
          <c:idx val="29"/>
          <c:order val="29"/>
          <c:tx>
            <c:strRef>
              <c:f>'3. CEF &amp; EEF'!$B$116</c:f>
              <c:strCache>
                <c:ptCount val="1"/>
                <c:pt idx="0">
                  <c:v>Mass Enthalpy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EEF'!$E$116:$I$116</c:f>
            </c:numRef>
          </c:val>
          <c:extLst>
            <c:ext xmlns:c16="http://schemas.microsoft.com/office/drawing/2014/chart" uri="{C3380CC4-5D6E-409C-BE32-E72D297353CC}">
              <c16:uniqueId val="{0000001D-A510-4676-BF76-9E1813E58D20}"/>
            </c:ext>
          </c:extLst>
        </c:ser>
        <c:ser>
          <c:idx val="30"/>
          <c:order val="30"/>
          <c:tx>
            <c:strRef>
              <c:f>'3. CEF &amp; EEF'!$B$117</c:f>
              <c:strCache>
                <c:ptCount val="1"/>
                <c:pt idx="0">
                  <c:v>Molar Entropy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EEF'!$E$117:$I$117</c:f>
            </c:numRef>
          </c:val>
          <c:extLst>
            <c:ext xmlns:c16="http://schemas.microsoft.com/office/drawing/2014/chart" uri="{C3380CC4-5D6E-409C-BE32-E72D297353CC}">
              <c16:uniqueId val="{0000001E-A510-4676-BF76-9E1813E58D20}"/>
            </c:ext>
          </c:extLst>
        </c:ser>
        <c:ser>
          <c:idx val="31"/>
          <c:order val="31"/>
          <c:tx>
            <c:strRef>
              <c:f>'3. CEF &amp; EEF'!$B$118</c:f>
              <c:strCache>
                <c:ptCount val="1"/>
                <c:pt idx="0">
                  <c:v>Mass Entropy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EEF'!$E$118:$I$118</c:f>
            </c:numRef>
          </c:val>
          <c:extLst>
            <c:ext xmlns:c16="http://schemas.microsoft.com/office/drawing/2014/chart" uri="{C3380CC4-5D6E-409C-BE32-E72D297353CC}">
              <c16:uniqueId val="{0000001F-A510-4676-BF76-9E1813E58D20}"/>
            </c:ext>
          </c:extLst>
        </c:ser>
        <c:ser>
          <c:idx val="32"/>
          <c:order val="32"/>
          <c:tx>
            <c:strRef>
              <c:f>'3. CEF &amp; EEF'!$B$119</c:f>
              <c:strCache>
                <c:ptCount val="1"/>
                <c:pt idx="0">
                  <c:v>Molar Density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EEF'!$E$119:$I$119</c:f>
            </c:numRef>
          </c:val>
          <c:extLst>
            <c:ext xmlns:c16="http://schemas.microsoft.com/office/drawing/2014/chart" uri="{C3380CC4-5D6E-409C-BE32-E72D297353CC}">
              <c16:uniqueId val="{00000020-A510-4676-BF76-9E1813E58D20}"/>
            </c:ext>
          </c:extLst>
        </c:ser>
        <c:ser>
          <c:idx val="33"/>
          <c:order val="33"/>
          <c:tx>
            <c:strRef>
              <c:f>'3. CEF &amp; EEF'!$B$120</c:f>
              <c:strCache>
                <c:ptCount val="1"/>
                <c:pt idx="0">
                  <c:v>Mass Density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EEF'!$E$120:$I$120</c:f>
            </c:numRef>
          </c:val>
          <c:extLst>
            <c:ext xmlns:c16="http://schemas.microsoft.com/office/drawing/2014/chart" uri="{C3380CC4-5D6E-409C-BE32-E72D297353CC}">
              <c16:uniqueId val="{00000021-A510-4676-BF76-9E1813E58D20}"/>
            </c:ext>
          </c:extLst>
        </c:ser>
        <c:ser>
          <c:idx val="34"/>
          <c:order val="34"/>
          <c:tx>
            <c:strRef>
              <c:f>'3. CEF &amp; EEF'!$B$121</c:f>
              <c:strCache>
                <c:ptCount val="1"/>
                <c:pt idx="0">
                  <c:v>Enthalpy Flow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EEF'!$E$121:$I$121</c:f>
            </c:numRef>
          </c:val>
          <c:extLst>
            <c:ext xmlns:c16="http://schemas.microsoft.com/office/drawing/2014/chart" uri="{C3380CC4-5D6E-409C-BE32-E72D297353CC}">
              <c16:uniqueId val="{00000022-A510-4676-BF76-9E1813E58D20}"/>
            </c:ext>
          </c:extLst>
        </c:ser>
        <c:ser>
          <c:idx val="35"/>
          <c:order val="35"/>
          <c:tx>
            <c:strRef>
              <c:f>'3. CEF &amp; EEF'!$B$122</c:f>
              <c:strCache>
                <c:ptCount val="1"/>
                <c:pt idx="0">
                  <c:v>Average MW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EEF'!$E$122:$I$122</c:f>
            </c:numRef>
          </c:val>
          <c:extLst>
            <c:ext xmlns:c16="http://schemas.microsoft.com/office/drawing/2014/chart" uri="{C3380CC4-5D6E-409C-BE32-E72D297353CC}">
              <c16:uniqueId val="{00000023-A510-4676-BF76-9E1813E58D20}"/>
            </c:ext>
          </c:extLst>
        </c:ser>
        <c:ser>
          <c:idx val="36"/>
          <c:order val="36"/>
          <c:tx>
            <c:strRef>
              <c:f>'3. CEF &amp; EEF'!$B$123</c:f>
              <c:strCache>
                <c:ptCount val="1"/>
                <c:pt idx="0">
                  <c:v>Mole Flows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EEF'!$E$123:$I$123</c:f>
            </c:numRef>
          </c:val>
          <c:extLst>
            <c:ext xmlns:c16="http://schemas.microsoft.com/office/drawing/2014/chart" uri="{C3380CC4-5D6E-409C-BE32-E72D297353CC}">
              <c16:uniqueId val="{00000024-A510-4676-BF76-9E1813E58D20}"/>
            </c:ext>
          </c:extLst>
        </c:ser>
        <c:ser>
          <c:idx val="37"/>
          <c:order val="37"/>
          <c:tx>
            <c:strRef>
              <c:f>'3. CEF &amp; EEF'!$B$124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EEF'!$E$124:$I$124</c:f>
            </c:numRef>
          </c:val>
          <c:extLst>
            <c:ext xmlns:c16="http://schemas.microsoft.com/office/drawing/2014/chart" uri="{C3380CC4-5D6E-409C-BE32-E72D297353CC}">
              <c16:uniqueId val="{00000025-A510-4676-BF76-9E1813E58D20}"/>
            </c:ext>
          </c:extLst>
        </c:ser>
        <c:ser>
          <c:idx val="38"/>
          <c:order val="38"/>
          <c:tx>
            <c:strRef>
              <c:f>'3. CEF &amp; EEF'!$B$125</c:f>
              <c:strCache>
                <c:ptCount val="1"/>
                <c:pt idx="0">
                  <c:v>CH4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EEF'!$E$125:$I$125</c:f>
            </c:numRef>
          </c:val>
          <c:extLst>
            <c:ext xmlns:c16="http://schemas.microsoft.com/office/drawing/2014/chart" uri="{C3380CC4-5D6E-409C-BE32-E72D297353CC}">
              <c16:uniqueId val="{00000026-A510-4676-BF76-9E1813E58D20}"/>
            </c:ext>
          </c:extLst>
        </c:ser>
        <c:ser>
          <c:idx val="39"/>
          <c:order val="39"/>
          <c:tx>
            <c:strRef>
              <c:f>'3. CEF &amp; EEF'!$B$126</c:f>
              <c:strCache>
                <c:ptCount val="1"/>
                <c:pt idx="0">
                  <c:v>C2H6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EEF'!$E$126:$I$126</c:f>
            </c:numRef>
          </c:val>
          <c:extLst>
            <c:ext xmlns:c16="http://schemas.microsoft.com/office/drawing/2014/chart" uri="{C3380CC4-5D6E-409C-BE32-E72D297353CC}">
              <c16:uniqueId val="{00000027-A510-4676-BF76-9E1813E58D20}"/>
            </c:ext>
          </c:extLst>
        </c:ser>
        <c:ser>
          <c:idx val="40"/>
          <c:order val="40"/>
          <c:tx>
            <c:strRef>
              <c:f>'3. CEF &amp; EEF'!$B$127</c:f>
              <c:strCache>
                <c:ptCount val="1"/>
                <c:pt idx="0">
                  <c:v>C2H4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EEF'!$E$127:$I$127</c:f>
            </c:numRef>
          </c:val>
          <c:extLst>
            <c:ext xmlns:c16="http://schemas.microsoft.com/office/drawing/2014/chart" uri="{C3380CC4-5D6E-409C-BE32-E72D297353CC}">
              <c16:uniqueId val="{00000028-A510-4676-BF76-9E1813E58D20}"/>
            </c:ext>
          </c:extLst>
        </c:ser>
        <c:ser>
          <c:idx val="41"/>
          <c:order val="41"/>
          <c:tx>
            <c:strRef>
              <c:f>'3. CEF &amp; EEF'!$B$128</c:f>
              <c:strCache>
                <c:ptCount val="1"/>
                <c:pt idx="0">
                  <c:v>C2H2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EEF'!$E$128:$I$128</c:f>
            </c:numRef>
          </c:val>
          <c:extLst>
            <c:ext xmlns:c16="http://schemas.microsoft.com/office/drawing/2014/chart" uri="{C3380CC4-5D6E-409C-BE32-E72D297353CC}">
              <c16:uniqueId val="{00000029-A510-4676-BF76-9E1813E58D20}"/>
            </c:ext>
          </c:extLst>
        </c:ser>
        <c:ser>
          <c:idx val="42"/>
          <c:order val="42"/>
          <c:tx>
            <c:strRef>
              <c:f>'3. CEF &amp; EEF'!$B$129</c:f>
              <c:strCache>
                <c:ptCount val="1"/>
                <c:pt idx="0">
                  <c:v>C3-C5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EEF'!$E$129:$I$129</c:f>
            </c:numRef>
          </c:val>
          <c:extLst>
            <c:ext xmlns:c16="http://schemas.microsoft.com/office/drawing/2014/chart" uri="{C3380CC4-5D6E-409C-BE32-E72D297353CC}">
              <c16:uniqueId val="{0000002A-A510-4676-BF76-9E1813E58D20}"/>
            </c:ext>
          </c:extLst>
        </c:ser>
        <c:ser>
          <c:idx val="43"/>
          <c:order val="43"/>
          <c:tx>
            <c:strRef>
              <c:f>'3. CEF &amp; EEF'!$B$130</c:f>
              <c:strCache>
                <c:ptCount val="1"/>
                <c:pt idx="0">
                  <c:v>BEN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EEF'!$E$130:$I$130</c:f>
            </c:numRef>
          </c:val>
          <c:extLst>
            <c:ext xmlns:c16="http://schemas.microsoft.com/office/drawing/2014/chart" uri="{C3380CC4-5D6E-409C-BE32-E72D297353CC}">
              <c16:uniqueId val="{0000002B-A510-4676-BF76-9E1813E58D20}"/>
            </c:ext>
          </c:extLst>
        </c:ser>
        <c:ser>
          <c:idx val="44"/>
          <c:order val="44"/>
          <c:tx>
            <c:strRef>
              <c:f>'3. CEF &amp; EEF'!$B$131</c:f>
              <c:strCache>
                <c:ptCount val="1"/>
                <c:pt idx="0">
                  <c:v>TOL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EEF'!$E$131:$I$131</c:f>
            </c:numRef>
          </c:val>
          <c:extLst>
            <c:ext xmlns:c16="http://schemas.microsoft.com/office/drawing/2014/chart" uri="{C3380CC4-5D6E-409C-BE32-E72D297353CC}">
              <c16:uniqueId val="{0000002C-A510-4676-BF76-9E1813E58D20}"/>
            </c:ext>
          </c:extLst>
        </c:ser>
        <c:ser>
          <c:idx val="45"/>
          <c:order val="45"/>
          <c:tx>
            <c:strRef>
              <c:f>'3. CEF &amp; EEF'!$B$132</c:f>
              <c:strCache>
                <c:ptCount val="1"/>
                <c:pt idx="0">
                  <c:v>NAP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EEF'!$E$132:$I$132</c:f>
            </c:numRef>
          </c:val>
          <c:extLst>
            <c:ext xmlns:c16="http://schemas.microsoft.com/office/drawing/2014/chart" uri="{C3380CC4-5D6E-409C-BE32-E72D297353CC}">
              <c16:uniqueId val="{0000002D-A510-4676-BF76-9E1813E58D20}"/>
            </c:ext>
          </c:extLst>
        </c:ser>
        <c:ser>
          <c:idx val="46"/>
          <c:order val="46"/>
          <c:tx>
            <c:strRef>
              <c:f>'3. CEF &amp; EEF'!$B$133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EEF'!$E$133:$I$133</c:f>
            </c:numRef>
          </c:val>
          <c:extLst>
            <c:ext xmlns:c16="http://schemas.microsoft.com/office/drawing/2014/chart" uri="{C3380CC4-5D6E-409C-BE32-E72D297353CC}">
              <c16:uniqueId val="{0000002E-A510-4676-BF76-9E1813E58D20}"/>
            </c:ext>
          </c:extLst>
        </c:ser>
        <c:ser>
          <c:idx val="47"/>
          <c:order val="47"/>
          <c:tx>
            <c:strRef>
              <c:f>'3. CEF &amp; EEF'!$B$134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EEF'!$E$134:$I$134</c:f>
            </c:numRef>
          </c:val>
          <c:extLst>
            <c:ext xmlns:c16="http://schemas.microsoft.com/office/drawing/2014/chart" uri="{C3380CC4-5D6E-409C-BE32-E72D297353CC}">
              <c16:uniqueId val="{0000002F-A510-4676-BF76-9E1813E58D20}"/>
            </c:ext>
          </c:extLst>
        </c:ser>
        <c:ser>
          <c:idx val="48"/>
          <c:order val="48"/>
          <c:tx>
            <c:strRef>
              <c:f>'3. CEF &amp; EEF'!$B$135</c:f>
              <c:strCache>
                <c:ptCount val="1"/>
                <c:pt idx="0">
                  <c:v>O2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EEF'!$E$135:$I$135</c:f>
            </c:numRef>
          </c:val>
          <c:extLst>
            <c:ext xmlns:c16="http://schemas.microsoft.com/office/drawing/2014/chart" uri="{C3380CC4-5D6E-409C-BE32-E72D297353CC}">
              <c16:uniqueId val="{00000030-A510-4676-BF76-9E1813E58D20}"/>
            </c:ext>
          </c:extLst>
        </c:ser>
        <c:ser>
          <c:idx val="49"/>
          <c:order val="49"/>
          <c:tx>
            <c:strRef>
              <c:f>'3. CEF &amp; EEF'!$B$136</c:f>
              <c:strCache>
                <c:ptCount val="1"/>
                <c:pt idx="0">
                  <c:v>CO2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EEF'!$E$136:$I$136</c:f>
            </c:numRef>
          </c:val>
          <c:extLst>
            <c:ext xmlns:c16="http://schemas.microsoft.com/office/drawing/2014/chart" uri="{C3380CC4-5D6E-409C-BE32-E72D297353CC}">
              <c16:uniqueId val="{00000031-A510-4676-BF76-9E1813E58D20}"/>
            </c:ext>
          </c:extLst>
        </c:ser>
        <c:ser>
          <c:idx val="50"/>
          <c:order val="50"/>
          <c:tx>
            <c:strRef>
              <c:f>'3. CEF &amp; EEF'!$B$137</c:f>
              <c:strCache>
                <c:ptCount val="1"/>
                <c:pt idx="0">
                  <c:v>CO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EEF'!$E$137:$I$137</c:f>
            </c:numRef>
          </c:val>
          <c:extLst>
            <c:ext xmlns:c16="http://schemas.microsoft.com/office/drawing/2014/chart" uri="{C3380CC4-5D6E-409C-BE32-E72D297353CC}">
              <c16:uniqueId val="{00000032-A510-4676-BF76-9E1813E58D20}"/>
            </c:ext>
          </c:extLst>
        </c:ser>
        <c:ser>
          <c:idx val="51"/>
          <c:order val="51"/>
          <c:tx>
            <c:strRef>
              <c:f>'3. CEF &amp; EEF'!$B$138</c:f>
              <c:strCache>
                <c:ptCount val="1"/>
                <c:pt idx="0">
                  <c:v>N2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EEF'!$E$138:$I$138</c:f>
            </c:numRef>
          </c:val>
          <c:extLst>
            <c:ext xmlns:c16="http://schemas.microsoft.com/office/drawing/2014/chart" uri="{C3380CC4-5D6E-409C-BE32-E72D297353CC}">
              <c16:uniqueId val="{00000033-A510-4676-BF76-9E1813E58D20}"/>
            </c:ext>
          </c:extLst>
        </c:ser>
        <c:ser>
          <c:idx val="52"/>
          <c:order val="52"/>
          <c:tx>
            <c:strRef>
              <c:f>'3. CEF &amp; EEF'!$B$139</c:f>
              <c:strCache>
                <c:ptCount val="1"/>
                <c:pt idx="0">
                  <c:v>Mole Fractions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EEF'!$E$139:$I$139</c:f>
            </c:numRef>
          </c:val>
          <c:extLst>
            <c:ext xmlns:c16="http://schemas.microsoft.com/office/drawing/2014/chart" uri="{C3380CC4-5D6E-409C-BE32-E72D297353CC}">
              <c16:uniqueId val="{00000034-A510-4676-BF76-9E1813E58D20}"/>
            </c:ext>
          </c:extLst>
        </c:ser>
        <c:ser>
          <c:idx val="53"/>
          <c:order val="53"/>
          <c:tx>
            <c:strRef>
              <c:f>'3. CEF &amp; EEF'!$B$140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EEF'!$E$140:$I$140</c:f>
            </c:numRef>
          </c:val>
          <c:extLst>
            <c:ext xmlns:c16="http://schemas.microsoft.com/office/drawing/2014/chart" uri="{C3380CC4-5D6E-409C-BE32-E72D297353CC}">
              <c16:uniqueId val="{00000035-A510-4676-BF76-9E1813E58D20}"/>
            </c:ext>
          </c:extLst>
        </c:ser>
        <c:ser>
          <c:idx val="54"/>
          <c:order val="54"/>
          <c:tx>
            <c:strRef>
              <c:f>'3. CEF &amp; EEF'!$B$141</c:f>
              <c:strCache>
                <c:ptCount val="1"/>
                <c:pt idx="0">
                  <c:v>CH4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EEF'!$E$141:$I$141</c:f>
            </c:numRef>
          </c:val>
          <c:extLst>
            <c:ext xmlns:c16="http://schemas.microsoft.com/office/drawing/2014/chart" uri="{C3380CC4-5D6E-409C-BE32-E72D297353CC}">
              <c16:uniqueId val="{00000036-A510-4676-BF76-9E1813E58D20}"/>
            </c:ext>
          </c:extLst>
        </c:ser>
        <c:ser>
          <c:idx val="55"/>
          <c:order val="55"/>
          <c:tx>
            <c:strRef>
              <c:f>'3. CEF &amp; EEF'!$B$142</c:f>
              <c:strCache>
                <c:ptCount val="1"/>
                <c:pt idx="0">
                  <c:v>C2H6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EEF'!$E$142:$I$142</c:f>
            </c:numRef>
          </c:val>
          <c:extLst>
            <c:ext xmlns:c16="http://schemas.microsoft.com/office/drawing/2014/chart" uri="{C3380CC4-5D6E-409C-BE32-E72D297353CC}">
              <c16:uniqueId val="{00000037-A510-4676-BF76-9E1813E58D20}"/>
            </c:ext>
          </c:extLst>
        </c:ser>
        <c:ser>
          <c:idx val="56"/>
          <c:order val="56"/>
          <c:tx>
            <c:strRef>
              <c:f>'3. CEF &amp; EEF'!$B$143</c:f>
              <c:strCache>
                <c:ptCount val="1"/>
                <c:pt idx="0">
                  <c:v>C2H4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EEF'!$E$143:$I$143</c:f>
            </c:numRef>
          </c:val>
          <c:extLst>
            <c:ext xmlns:c16="http://schemas.microsoft.com/office/drawing/2014/chart" uri="{C3380CC4-5D6E-409C-BE32-E72D297353CC}">
              <c16:uniqueId val="{00000038-A510-4676-BF76-9E1813E58D20}"/>
            </c:ext>
          </c:extLst>
        </c:ser>
        <c:ser>
          <c:idx val="57"/>
          <c:order val="57"/>
          <c:tx>
            <c:strRef>
              <c:f>'3. CEF &amp; EEF'!$B$144</c:f>
              <c:strCache>
                <c:ptCount val="1"/>
                <c:pt idx="0">
                  <c:v>C2H2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EEF'!$E$144:$I$144</c:f>
            </c:numRef>
          </c:val>
          <c:extLst>
            <c:ext xmlns:c16="http://schemas.microsoft.com/office/drawing/2014/chart" uri="{C3380CC4-5D6E-409C-BE32-E72D297353CC}">
              <c16:uniqueId val="{00000039-A510-4676-BF76-9E1813E58D20}"/>
            </c:ext>
          </c:extLst>
        </c:ser>
        <c:ser>
          <c:idx val="58"/>
          <c:order val="58"/>
          <c:tx>
            <c:strRef>
              <c:f>'3. CEF &amp; EEF'!$B$145</c:f>
              <c:strCache>
                <c:ptCount val="1"/>
                <c:pt idx="0">
                  <c:v>C3-C5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EEF'!$E$145:$I$145</c:f>
            </c:numRef>
          </c:val>
          <c:extLst>
            <c:ext xmlns:c16="http://schemas.microsoft.com/office/drawing/2014/chart" uri="{C3380CC4-5D6E-409C-BE32-E72D297353CC}">
              <c16:uniqueId val="{0000003A-A510-4676-BF76-9E1813E58D20}"/>
            </c:ext>
          </c:extLst>
        </c:ser>
        <c:ser>
          <c:idx val="59"/>
          <c:order val="59"/>
          <c:tx>
            <c:strRef>
              <c:f>'3. CEF &amp; EEF'!$B$146</c:f>
              <c:strCache>
                <c:ptCount val="1"/>
                <c:pt idx="0">
                  <c:v>BEN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EEF'!$E$146:$I$146</c:f>
            </c:numRef>
          </c:val>
          <c:extLst>
            <c:ext xmlns:c16="http://schemas.microsoft.com/office/drawing/2014/chart" uri="{C3380CC4-5D6E-409C-BE32-E72D297353CC}">
              <c16:uniqueId val="{0000003B-A510-4676-BF76-9E1813E58D20}"/>
            </c:ext>
          </c:extLst>
        </c:ser>
        <c:ser>
          <c:idx val="60"/>
          <c:order val="60"/>
          <c:tx>
            <c:strRef>
              <c:f>'3. CEF &amp; EEF'!$B$147</c:f>
              <c:strCache>
                <c:ptCount val="1"/>
                <c:pt idx="0">
                  <c:v>TOL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EEF'!$E$147:$I$147</c:f>
            </c:numRef>
          </c:val>
          <c:extLst>
            <c:ext xmlns:c16="http://schemas.microsoft.com/office/drawing/2014/chart" uri="{C3380CC4-5D6E-409C-BE32-E72D297353CC}">
              <c16:uniqueId val="{0000003C-A510-4676-BF76-9E1813E58D20}"/>
            </c:ext>
          </c:extLst>
        </c:ser>
        <c:ser>
          <c:idx val="61"/>
          <c:order val="61"/>
          <c:tx>
            <c:strRef>
              <c:f>'3. CEF &amp; EEF'!$B$148</c:f>
              <c:strCache>
                <c:ptCount val="1"/>
                <c:pt idx="0">
                  <c:v>NAP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EEF'!$E$148:$I$148</c:f>
            </c:numRef>
          </c:val>
          <c:extLst>
            <c:ext xmlns:c16="http://schemas.microsoft.com/office/drawing/2014/chart" uri="{C3380CC4-5D6E-409C-BE32-E72D297353CC}">
              <c16:uniqueId val="{0000003D-A510-4676-BF76-9E1813E58D20}"/>
            </c:ext>
          </c:extLst>
        </c:ser>
        <c:ser>
          <c:idx val="62"/>
          <c:order val="62"/>
          <c:tx>
            <c:strRef>
              <c:f>'3. CEF &amp; EEF'!$B$149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EEF'!$E$149:$I$149</c:f>
            </c:numRef>
          </c:val>
          <c:extLst>
            <c:ext xmlns:c16="http://schemas.microsoft.com/office/drawing/2014/chart" uri="{C3380CC4-5D6E-409C-BE32-E72D297353CC}">
              <c16:uniqueId val="{0000003E-A510-4676-BF76-9E1813E58D20}"/>
            </c:ext>
          </c:extLst>
        </c:ser>
        <c:ser>
          <c:idx val="63"/>
          <c:order val="63"/>
          <c:tx>
            <c:strRef>
              <c:f>'3. CEF &amp; EEF'!$B$150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EEF'!$E$150:$I$150</c:f>
            </c:numRef>
          </c:val>
          <c:extLst>
            <c:ext xmlns:c16="http://schemas.microsoft.com/office/drawing/2014/chart" uri="{C3380CC4-5D6E-409C-BE32-E72D297353CC}">
              <c16:uniqueId val="{0000003F-A510-4676-BF76-9E1813E58D20}"/>
            </c:ext>
          </c:extLst>
        </c:ser>
        <c:ser>
          <c:idx val="64"/>
          <c:order val="64"/>
          <c:tx>
            <c:strRef>
              <c:f>'3. CEF &amp; EEF'!$B$151</c:f>
              <c:strCache>
                <c:ptCount val="1"/>
                <c:pt idx="0">
                  <c:v>O2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EEF'!$E$151:$I$151</c:f>
            </c:numRef>
          </c:val>
          <c:extLst>
            <c:ext xmlns:c16="http://schemas.microsoft.com/office/drawing/2014/chart" uri="{C3380CC4-5D6E-409C-BE32-E72D297353CC}">
              <c16:uniqueId val="{00000040-A510-4676-BF76-9E1813E58D20}"/>
            </c:ext>
          </c:extLst>
        </c:ser>
        <c:ser>
          <c:idx val="65"/>
          <c:order val="65"/>
          <c:tx>
            <c:strRef>
              <c:f>'3. CEF &amp; EEF'!$B$152</c:f>
              <c:strCache>
                <c:ptCount val="1"/>
                <c:pt idx="0">
                  <c:v>CO2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EEF'!$E$152:$I$152</c:f>
            </c:numRef>
          </c:val>
          <c:extLst>
            <c:ext xmlns:c16="http://schemas.microsoft.com/office/drawing/2014/chart" uri="{C3380CC4-5D6E-409C-BE32-E72D297353CC}">
              <c16:uniqueId val="{00000041-A510-4676-BF76-9E1813E58D20}"/>
            </c:ext>
          </c:extLst>
        </c:ser>
        <c:ser>
          <c:idx val="66"/>
          <c:order val="66"/>
          <c:tx>
            <c:strRef>
              <c:f>'3. CEF &amp; EEF'!$B$153</c:f>
              <c:strCache>
                <c:ptCount val="1"/>
                <c:pt idx="0">
                  <c:v>CO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EEF'!$E$153:$I$153</c:f>
            </c:numRef>
          </c:val>
          <c:extLst>
            <c:ext xmlns:c16="http://schemas.microsoft.com/office/drawing/2014/chart" uri="{C3380CC4-5D6E-409C-BE32-E72D297353CC}">
              <c16:uniqueId val="{00000042-A510-4676-BF76-9E1813E58D20}"/>
            </c:ext>
          </c:extLst>
        </c:ser>
        <c:ser>
          <c:idx val="67"/>
          <c:order val="67"/>
          <c:tx>
            <c:strRef>
              <c:f>'3. CEF &amp; EEF'!$B$154</c:f>
              <c:strCache>
                <c:ptCount val="1"/>
                <c:pt idx="0">
                  <c:v>N2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EEF'!$E$154:$I$154</c:f>
            </c:numRef>
          </c:val>
          <c:extLst>
            <c:ext xmlns:c16="http://schemas.microsoft.com/office/drawing/2014/chart" uri="{C3380CC4-5D6E-409C-BE32-E72D297353CC}">
              <c16:uniqueId val="{00000043-A510-4676-BF76-9E1813E58D20}"/>
            </c:ext>
          </c:extLst>
        </c:ser>
        <c:ser>
          <c:idx val="68"/>
          <c:order val="68"/>
          <c:tx>
            <c:strRef>
              <c:f>'3. CEF &amp; EEF'!$B$155</c:f>
              <c:strCache>
                <c:ptCount val="1"/>
                <c:pt idx="0">
                  <c:v>Mass Flows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EEF'!$E$155:$I$155</c:f>
            </c:numRef>
          </c:val>
          <c:extLst>
            <c:ext xmlns:c16="http://schemas.microsoft.com/office/drawing/2014/chart" uri="{C3380CC4-5D6E-409C-BE32-E72D297353CC}">
              <c16:uniqueId val="{00000044-A510-4676-BF76-9E1813E58D20}"/>
            </c:ext>
          </c:extLst>
        </c:ser>
        <c:ser>
          <c:idx val="69"/>
          <c:order val="69"/>
          <c:tx>
            <c:strRef>
              <c:f>'3. CEF &amp; EEF'!$B$156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EEF'!$E$156:$I$156</c:f>
            </c:numRef>
          </c:val>
          <c:extLst>
            <c:ext xmlns:c16="http://schemas.microsoft.com/office/drawing/2014/chart" uri="{C3380CC4-5D6E-409C-BE32-E72D297353CC}">
              <c16:uniqueId val="{00000045-A510-4676-BF76-9E1813E58D20}"/>
            </c:ext>
          </c:extLst>
        </c:ser>
        <c:ser>
          <c:idx val="70"/>
          <c:order val="70"/>
          <c:tx>
            <c:strRef>
              <c:f>'3. CEF &amp; EEF'!$B$157</c:f>
              <c:strCache>
                <c:ptCount val="1"/>
                <c:pt idx="0">
                  <c:v>CH4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EEF'!$E$157:$I$157</c:f>
            </c:numRef>
          </c:val>
          <c:extLst>
            <c:ext xmlns:c16="http://schemas.microsoft.com/office/drawing/2014/chart" uri="{C3380CC4-5D6E-409C-BE32-E72D297353CC}">
              <c16:uniqueId val="{00000046-A510-4676-BF76-9E1813E58D20}"/>
            </c:ext>
          </c:extLst>
        </c:ser>
        <c:ser>
          <c:idx val="71"/>
          <c:order val="71"/>
          <c:tx>
            <c:strRef>
              <c:f>'3. CEF &amp; EEF'!$B$158</c:f>
              <c:strCache>
                <c:ptCount val="1"/>
                <c:pt idx="0">
                  <c:v>C2H6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EEF'!$E$158:$I$158</c:f>
            </c:numRef>
          </c:val>
          <c:extLst>
            <c:ext xmlns:c16="http://schemas.microsoft.com/office/drawing/2014/chart" uri="{C3380CC4-5D6E-409C-BE32-E72D297353CC}">
              <c16:uniqueId val="{00000047-A510-4676-BF76-9E1813E58D20}"/>
            </c:ext>
          </c:extLst>
        </c:ser>
        <c:ser>
          <c:idx val="72"/>
          <c:order val="72"/>
          <c:tx>
            <c:strRef>
              <c:f>'3. CEF &amp; EEF'!$B$159</c:f>
              <c:strCache>
                <c:ptCount val="1"/>
                <c:pt idx="0">
                  <c:v>C2H4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EEF'!$E$159:$I$159</c:f>
            </c:numRef>
          </c:val>
          <c:extLst>
            <c:ext xmlns:c16="http://schemas.microsoft.com/office/drawing/2014/chart" uri="{C3380CC4-5D6E-409C-BE32-E72D297353CC}">
              <c16:uniqueId val="{00000048-A510-4676-BF76-9E1813E58D20}"/>
            </c:ext>
          </c:extLst>
        </c:ser>
        <c:ser>
          <c:idx val="73"/>
          <c:order val="73"/>
          <c:tx>
            <c:strRef>
              <c:f>'3. CEF &amp; EEF'!$B$160</c:f>
              <c:strCache>
                <c:ptCount val="1"/>
                <c:pt idx="0">
                  <c:v>C2H2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EEF'!$E$160:$I$160</c:f>
            </c:numRef>
          </c:val>
          <c:extLst>
            <c:ext xmlns:c16="http://schemas.microsoft.com/office/drawing/2014/chart" uri="{C3380CC4-5D6E-409C-BE32-E72D297353CC}">
              <c16:uniqueId val="{00000049-A510-4676-BF76-9E1813E58D20}"/>
            </c:ext>
          </c:extLst>
        </c:ser>
        <c:ser>
          <c:idx val="74"/>
          <c:order val="74"/>
          <c:tx>
            <c:strRef>
              <c:f>'3. CEF &amp; EEF'!$B$161</c:f>
              <c:strCache>
                <c:ptCount val="1"/>
                <c:pt idx="0">
                  <c:v>C3-C5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EEF'!$E$161:$I$161</c:f>
            </c:numRef>
          </c:val>
          <c:extLst>
            <c:ext xmlns:c16="http://schemas.microsoft.com/office/drawing/2014/chart" uri="{C3380CC4-5D6E-409C-BE32-E72D297353CC}">
              <c16:uniqueId val="{0000004A-A510-4676-BF76-9E1813E58D20}"/>
            </c:ext>
          </c:extLst>
        </c:ser>
        <c:ser>
          <c:idx val="75"/>
          <c:order val="75"/>
          <c:tx>
            <c:strRef>
              <c:f>'3. CEF &amp; EEF'!$B$162</c:f>
              <c:strCache>
                <c:ptCount val="1"/>
                <c:pt idx="0">
                  <c:v>BEN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EEF'!$E$162:$I$162</c:f>
            </c:numRef>
          </c:val>
          <c:extLst>
            <c:ext xmlns:c16="http://schemas.microsoft.com/office/drawing/2014/chart" uri="{C3380CC4-5D6E-409C-BE32-E72D297353CC}">
              <c16:uniqueId val="{0000004B-A510-4676-BF76-9E1813E58D20}"/>
            </c:ext>
          </c:extLst>
        </c:ser>
        <c:ser>
          <c:idx val="76"/>
          <c:order val="76"/>
          <c:tx>
            <c:strRef>
              <c:f>'3. CEF &amp; EEF'!$B$163</c:f>
              <c:strCache>
                <c:ptCount val="1"/>
                <c:pt idx="0">
                  <c:v>TOL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EEF'!$E$163:$I$163</c:f>
            </c:numRef>
          </c:val>
          <c:extLst>
            <c:ext xmlns:c16="http://schemas.microsoft.com/office/drawing/2014/chart" uri="{C3380CC4-5D6E-409C-BE32-E72D297353CC}">
              <c16:uniqueId val="{0000004C-A510-4676-BF76-9E1813E58D20}"/>
            </c:ext>
          </c:extLst>
        </c:ser>
        <c:ser>
          <c:idx val="77"/>
          <c:order val="77"/>
          <c:tx>
            <c:strRef>
              <c:f>'3. CEF &amp; EEF'!$B$164</c:f>
              <c:strCache>
                <c:ptCount val="1"/>
                <c:pt idx="0">
                  <c:v>NAP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EEF'!$E$164:$I$164</c:f>
            </c:numRef>
          </c:val>
          <c:extLst>
            <c:ext xmlns:c16="http://schemas.microsoft.com/office/drawing/2014/chart" uri="{C3380CC4-5D6E-409C-BE32-E72D297353CC}">
              <c16:uniqueId val="{0000004D-A510-4676-BF76-9E1813E58D20}"/>
            </c:ext>
          </c:extLst>
        </c:ser>
        <c:ser>
          <c:idx val="78"/>
          <c:order val="78"/>
          <c:tx>
            <c:strRef>
              <c:f>'3. CEF &amp; EEF'!$B$165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EEF'!$E$165:$I$165</c:f>
            </c:numRef>
          </c:val>
          <c:extLst>
            <c:ext xmlns:c16="http://schemas.microsoft.com/office/drawing/2014/chart" uri="{C3380CC4-5D6E-409C-BE32-E72D297353CC}">
              <c16:uniqueId val="{0000004E-A510-4676-BF76-9E1813E58D20}"/>
            </c:ext>
          </c:extLst>
        </c:ser>
        <c:ser>
          <c:idx val="79"/>
          <c:order val="79"/>
          <c:tx>
            <c:strRef>
              <c:f>'3. CEF &amp; EEF'!$B$166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EEF'!$E$166:$I$166</c:f>
            </c:numRef>
          </c:val>
          <c:extLst>
            <c:ext xmlns:c16="http://schemas.microsoft.com/office/drawing/2014/chart" uri="{C3380CC4-5D6E-409C-BE32-E72D297353CC}">
              <c16:uniqueId val="{0000004F-A510-4676-BF76-9E1813E58D20}"/>
            </c:ext>
          </c:extLst>
        </c:ser>
        <c:ser>
          <c:idx val="80"/>
          <c:order val="80"/>
          <c:tx>
            <c:strRef>
              <c:f>'3. CEF &amp; EEF'!$B$167</c:f>
              <c:strCache>
                <c:ptCount val="1"/>
                <c:pt idx="0">
                  <c:v>O2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EEF'!$E$167:$I$167</c:f>
            </c:numRef>
          </c:val>
          <c:extLst>
            <c:ext xmlns:c16="http://schemas.microsoft.com/office/drawing/2014/chart" uri="{C3380CC4-5D6E-409C-BE32-E72D297353CC}">
              <c16:uniqueId val="{00000050-A510-4676-BF76-9E1813E58D20}"/>
            </c:ext>
          </c:extLst>
        </c:ser>
        <c:ser>
          <c:idx val="81"/>
          <c:order val="81"/>
          <c:tx>
            <c:strRef>
              <c:f>'3. CEF &amp; EEF'!$B$168</c:f>
              <c:strCache>
                <c:ptCount val="1"/>
                <c:pt idx="0">
                  <c:v>CO2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EEF'!$E$168:$I$168</c:f>
            </c:numRef>
          </c:val>
          <c:extLst>
            <c:ext xmlns:c16="http://schemas.microsoft.com/office/drawing/2014/chart" uri="{C3380CC4-5D6E-409C-BE32-E72D297353CC}">
              <c16:uniqueId val="{00000051-A510-4676-BF76-9E1813E58D20}"/>
            </c:ext>
          </c:extLst>
        </c:ser>
        <c:ser>
          <c:idx val="82"/>
          <c:order val="82"/>
          <c:tx>
            <c:strRef>
              <c:f>'3. CEF &amp; EEF'!$B$169</c:f>
              <c:strCache>
                <c:ptCount val="1"/>
                <c:pt idx="0">
                  <c:v>CO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EEF'!$E$169:$I$169</c:f>
            </c:numRef>
          </c:val>
          <c:extLst>
            <c:ext xmlns:c16="http://schemas.microsoft.com/office/drawing/2014/chart" uri="{C3380CC4-5D6E-409C-BE32-E72D297353CC}">
              <c16:uniqueId val="{00000052-A510-4676-BF76-9E1813E58D20}"/>
            </c:ext>
          </c:extLst>
        </c:ser>
        <c:ser>
          <c:idx val="83"/>
          <c:order val="83"/>
          <c:tx>
            <c:strRef>
              <c:f>'3. CEF &amp; EEF'!$B$170</c:f>
              <c:strCache>
                <c:ptCount val="1"/>
                <c:pt idx="0">
                  <c:v>N2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EEF'!$E$170:$I$170</c:f>
            </c:numRef>
          </c:val>
          <c:extLst>
            <c:ext xmlns:c16="http://schemas.microsoft.com/office/drawing/2014/chart" uri="{C3380CC4-5D6E-409C-BE32-E72D297353CC}">
              <c16:uniqueId val="{00000053-A510-4676-BF76-9E1813E58D20}"/>
            </c:ext>
          </c:extLst>
        </c:ser>
        <c:ser>
          <c:idx val="84"/>
          <c:order val="84"/>
          <c:tx>
            <c:strRef>
              <c:f>'3. CEF &amp; EEF'!$B$171</c:f>
              <c:strCache>
                <c:ptCount val="1"/>
                <c:pt idx="0">
                  <c:v>Mass Fractions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EEF'!$E$171:$I$171</c:f>
            </c:numRef>
          </c:val>
          <c:extLst>
            <c:ext xmlns:c16="http://schemas.microsoft.com/office/drawing/2014/chart" uri="{C3380CC4-5D6E-409C-BE32-E72D297353CC}">
              <c16:uniqueId val="{00000054-A510-4676-BF76-9E1813E58D20}"/>
            </c:ext>
          </c:extLst>
        </c:ser>
        <c:ser>
          <c:idx val="85"/>
          <c:order val="85"/>
          <c:tx>
            <c:strRef>
              <c:f>'3. CEF &amp; EEF'!$B$172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EEF'!$E$172:$I$172</c:f>
            </c:numRef>
          </c:val>
          <c:extLst>
            <c:ext xmlns:c16="http://schemas.microsoft.com/office/drawing/2014/chart" uri="{C3380CC4-5D6E-409C-BE32-E72D297353CC}">
              <c16:uniqueId val="{00000055-A510-4676-BF76-9E1813E58D20}"/>
            </c:ext>
          </c:extLst>
        </c:ser>
        <c:ser>
          <c:idx val="86"/>
          <c:order val="86"/>
          <c:tx>
            <c:strRef>
              <c:f>'3. CEF &amp; EEF'!$B$173</c:f>
              <c:strCache>
                <c:ptCount val="1"/>
                <c:pt idx="0">
                  <c:v>CH4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EEF'!$E$173:$I$173</c:f>
            </c:numRef>
          </c:val>
          <c:extLst>
            <c:ext xmlns:c16="http://schemas.microsoft.com/office/drawing/2014/chart" uri="{C3380CC4-5D6E-409C-BE32-E72D297353CC}">
              <c16:uniqueId val="{00000056-A510-4676-BF76-9E1813E58D20}"/>
            </c:ext>
          </c:extLst>
        </c:ser>
        <c:ser>
          <c:idx val="87"/>
          <c:order val="87"/>
          <c:tx>
            <c:strRef>
              <c:f>'3. CEF &amp; EEF'!$B$174</c:f>
              <c:strCache>
                <c:ptCount val="1"/>
                <c:pt idx="0">
                  <c:v>C2H6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EEF'!$E$174:$I$174</c:f>
            </c:numRef>
          </c:val>
          <c:extLst>
            <c:ext xmlns:c16="http://schemas.microsoft.com/office/drawing/2014/chart" uri="{C3380CC4-5D6E-409C-BE32-E72D297353CC}">
              <c16:uniqueId val="{00000057-A510-4676-BF76-9E1813E58D20}"/>
            </c:ext>
          </c:extLst>
        </c:ser>
        <c:ser>
          <c:idx val="88"/>
          <c:order val="88"/>
          <c:tx>
            <c:strRef>
              <c:f>'3. CEF &amp; EEF'!$B$175</c:f>
              <c:strCache>
                <c:ptCount val="1"/>
                <c:pt idx="0">
                  <c:v>C2H4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EEF'!$E$175:$I$175</c:f>
            </c:numRef>
          </c:val>
          <c:extLst>
            <c:ext xmlns:c16="http://schemas.microsoft.com/office/drawing/2014/chart" uri="{C3380CC4-5D6E-409C-BE32-E72D297353CC}">
              <c16:uniqueId val="{00000058-A510-4676-BF76-9E1813E58D20}"/>
            </c:ext>
          </c:extLst>
        </c:ser>
        <c:ser>
          <c:idx val="89"/>
          <c:order val="89"/>
          <c:tx>
            <c:strRef>
              <c:f>'3. CEF &amp; EEF'!$B$176</c:f>
              <c:strCache>
                <c:ptCount val="1"/>
                <c:pt idx="0">
                  <c:v>C2H2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EEF'!$E$176:$I$176</c:f>
            </c:numRef>
          </c:val>
          <c:extLst>
            <c:ext xmlns:c16="http://schemas.microsoft.com/office/drawing/2014/chart" uri="{C3380CC4-5D6E-409C-BE32-E72D297353CC}">
              <c16:uniqueId val="{00000059-A510-4676-BF76-9E1813E58D20}"/>
            </c:ext>
          </c:extLst>
        </c:ser>
        <c:ser>
          <c:idx val="90"/>
          <c:order val="90"/>
          <c:tx>
            <c:strRef>
              <c:f>'3. CEF &amp; EEF'!$B$177</c:f>
              <c:strCache>
                <c:ptCount val="1"/>
                <c:pt idx="0">
                  <c:v>C3-C5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EEF'!$E$177:$I$177</c:f>
            </c:numRef>
          </c:val>
          <c:extLst>
            <c:ext xmlns:c16="http://schemas.microsoft.com/office/drawing/2014/chart" uri="{C3380CC4-5D6E-409C-BE32-E72D297353CC}">
              <c16:uniqueId val="{0000005A-A510-4676-BF76-9E1813E58D20}"/>
            </c:ext>
          </c:extLst>
        </c:ser>
        <c:ser>
          <c:idx val="91"/>
          <c:order val="91"/>
          <c:tx>
            <c:strRef>
              <c:f>'3. CEF &amp; EEF'!$B$178</c:f>
              <c:strCache>
                <c:ptCount val="1"/>
                <c:pt idx="0">
                  <c:v>BEN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EEF'!$E$178:$I$178</c:f>
            </c:numRef>
          </c:val>
          <c:extLst>
            <c:ext xmlns:c16="http://schemas.microsoft.com/office/drawing/2014/chart" uri="{C3380CC4-5D6E-409C-BE32-E72D297353CC}">
              <c16:uniqueId val="{0000005B-A510-4676-BF76-9E1813E58D20}"/>
            </c:ext>
          </c:extLst>
        </c:ser>
        <c:ser>
          <c:idx val="92"/>
          <c:order val="92"/>
          <c:tx>
            <c:strRef>
              <c:f>'3. CEF &amp; EEF'!$B$179</c:f>
              <c:strCache>
                <c:ptCount val="1"/>
                <c:pt idx="0">
                  <c:v>TOL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EEF'!$E$179:$I$179</c:f>
            </c:numRef>
          </c:val>
          <c:extLst>
            <c:ext xmlns:c16="http://schemas.microsoft.com/office/drawing/2014/chart" uri="{C3380CC4-5D6E-409C-BE32-E72D297353CC}">
              <c16:uniqueId val="{0000005C-A510-4676-BF76-9E1813E58D20}"/>
            </c:ext>
          </c:extLst>
        </c:ser>
        <c:ser>
          <c:idx val="93"/>
          <c:order val="93"/>
          <c:tx>
            <c:strRef>
              <c:f>'3. CEF &amp; EEF'!$B$180</c:f>
              <c:strCache>
                <c:ptCount val="1"/>
                <c:pt idx="0">
                  <c:v>NAP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EEF'!$E$180:$I$180</c:f>
            </c:numRef>
          </c:val>
          <c:extLst>
            <c:ext xmlns:c16="http://schemas.microsoft.com/office/drawing/2014/chart" uri="{C3380CC4-5D6E-409C-BE32-E72D297353CC}">
              <c16:uniqueId val="{0000005D-A510-4676-BF76-9E1813E58D20}"/>
            </c:ext>
          </c:extLst>
        </c:ser>
        <c:ser>
          <c:idx val="94"/>
          <c:order val="94"/>
          <c:tx>
            <c:strRef>
              <c:f>'3. CEF &amp; EEF'!$B$181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EEF'!$E$181:$I$181</c:f>
            </c:numRef>
          </c:val>
          <c:extLst>
            <c:ext xmlns:c16="http://schemas.microsoft.com/office/drawing/2014/chart" uri="{C3380CC4-5D6E-409C-BE32-E72D297353CC}">
              <c16:uniqueId val="{0000005E-A510-4676-BF76-9E1813E58D20}"/>
            </c:ext>
          </c:extLst>
        </c:ser>
        <c:ser>
          <c:idx val="95"/>
          <c:order val="95"/>
          <c:tx>
            <c:strRef>
              <c:f>'3. CEF &amp; EEF'!$B$182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EEF'!$E$182:$I$182</c:f>
            </c:numRef>
          </c:val>
          <c:extLst>
            <c:ext xmlns:c16="http://schemas.microsoft.com/office/drawing/2014/chart" uri="{C3380CC4-5D6E-409C-BE32-E72D297353CC}">
              <c16:uniqueId val="{0000005F-A510-4676-BF76-9E1813E58D20}"/>
            </c:ext>
          </c:extLst>
        </c:ser>
        <c:ser>
          <c:idx val="96"/>
          <c:order val="96"/>
          <c:tx>
            <c:strRef>
              <c:f>'3. CEF &amp; EEF'!$B$183</c:f>
              <c:strCache>
                <c:ptCount val="1"/>
                <c:pt idx="0">
                  <c:v>O2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EEF'!$E$183:$I$183</c:f>
            </c:numRef>
          </c:val>
          <c:extLst>
            <c:ext xmlns:c16="http://schemas.microsoft.com/office/drawing/2014/chart" uri="{C3380CC4-5D6E-409C-BE32-E72D297353CC}">
              <c16:uniqueId val="{00000060-A510-4676-BF76-9E1813E58D20}"/>
            </c:ext>
          </c:extLst>
        </c:ser>
        <c:ser>
          <c:idx val="97"/>
          <c:order val="97"/>
          <c:tx>
            <c:strRef>
              <c:f>'3. CEF &amp; EEF'!$B$184</c:f>
              <c:strCache>
                <c:ptCount val="1"/>
                <c:pt idx="0">
                  <c:v>CO2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EEF'!$E$184:$I$184</c:f>
            </c:numRef>
          </c:val>
          <c:extLst>
            <c:ext xmlns:c16="http://schemas.microsoft.com/office/drawing/2014/chart" uri="{C3380CC4-5D6E-409C-BE32-E72D297353CC}">
              <c16:uniqueId val="{00000061-A510-4676-BF76-9E1813E58D20}"/>
            </c:ext>
          </c:extLst>
        </c:ser>
        <c:ser>
          <c:idx val="98"/>
          <c:order val="98"/>
          <c:tx>
            <c:strRef>
              <c:f>'3. CEF &amp; EEF'!$B$185</c:f>
              <c:strCache>
                <c:ptCount val="1"/>
                <c:pt idx="0">
                  <c:v>CO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EEF'!$E$185:$I$185</c:f>
            </c:numRef>
          </c:val>
          <c:extLst>
            <c:ext xmlns:c16="http://schemas.microsoft.com/office/drawing/2014/chart" uri="{C3380CC4-5D6E-409C-BE32-E72D297353CC}">
              <c16:uniqueId val="{00000062-A510-4676-BF76-9E1813E58D20}"/>
            </c:ext>
          </c:extLst>
        </c:ser>
        <c:ser>
          <c:idx val="99"/>
          <c:order val="99"/>
          <c:tx>
            <c:strRef>
              <c:f>'3. CEF &amp; EEF'!$B$186</c:f>
              <c:strCache>
                <c:ptCount val="1"/>
                <c:pt idx="0">
                  <c:v>N2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EEF'!$E$186:$I$186</c:f>
            </c:numRef>
          </c:val>
          <c:extLst>
            <c:ext xmlns:c16="http://schemas.microsoft.com/office/drawing/2014/chart" uri="{C3380CC4-5D6E-409C-BE32-E72D297353CC}">
              <c16:uniqueId val="{00000063-A510-4676-BF76-9E1813E58D20}"/>
            </c:ext>
          </c:extLst>
        </c:ser>
        <c:ser>
          <c:idx val="100"/>
          <c:order val="100"/>
          <c:tx>
            <c:strRef>
              <c:f>'3. CEF &amp; EEF'!$B$187</c:f>
              <c:strCache>
                <c:ptCount val="1"/>
                <c:pt idx="0">
                  <c:v>Volume Flow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EEF'!$E$187:$I$187</c:f>
            </c:numRef>
          </c:val>
          <c:extLst>
            <c:ext xmlns:c16="http://schemas.microsoft.com/office/drawing/2014/chart" uri="{C3380CC4-5D6E-409C-BE32-E72D297353CC}">
              <c16:uniqueId val="{00000064-A510-4676-BF76-9E1813E58D20}"/>
            </c:ext>
          </c:extLst>
        </c:ser>
        <c:ser>
          <c:idx val="101"/>
          <c:order val="101"/>
          <c:tx>
            <c:strRef>
              <c:f>'3. CEF &amp; EEF'!$B$188</c:f>
              <c:strCache>
                <c:ptCount val="1"/>
                <c:pt idx="0">
                  <c:v>Vapor Phase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EEF'!$E$188:$I$188</c:f>
            </c:numRef>
          </c:val>
          <c:extLst>
            <c:ext xmlns:c16="http://schemas.microsoft.com/office/drawing/2014/chart" uri="{C3380CC4-5D6E-409C-BE32-E72D297353CC}">
              <c16:uniqueId val="{00000065-A510-4676-BF76-9E1813E58D20}"/>
            </c:ext>
          </c:extLst>
        </c:ser>
        <c:ser>
          <c:idx val="102"/>
          <c:order val="102"/>
          <c:tx>
            <c:strRef>
              <c:f>'3. CEF &amp; EEF'!$B$189</c:f>
              <c:strCache>
                <c:ptCount val="1"/>
                <c:pt idx="0">
                  <c:v>Liquid Phase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EEF'!$E$189:$I$189</c:f>
            </c:numRef>
          </c:val>
          <c:extLst>
            <c:ext xmlns:c16="http://schemas.microsoft.com/office/drawing/2014/chart" uri="{C3380CC4-5D6E-409C-BE32-E72D297353CC}">
              <c16:uniqueId val="{00000066-A510-4676-BF76-9E1813E58D20}"/>
            </c:ext>
          </c:extLst>
        </c:ser>
        <c:ser>
          <c:idx val="103"/>
          <c:order val="103"/>
          <c:tx>
            <c:strRef>
              <c:f>'3. CEF &amp; EEF'!$B$190</c:f>
              <c:strCache>
                <c:ptCount val="1"/>
                <c:pt idx="0">
                  <c:v>&lt;add properties&gt;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EEF'!$E$190:$I$190</c:f>
            </c:numRef>
          </c:val>
          <c:extLst>
            <c:ext xmlns:c16="http://schemas.microsoft.com/office/drawing/2014/chart" uri="{C3380CC4-5D6E-409C-BE32-E72D297353CC}">
              <c16:uniqueId val="{00000067-A510-4676-BF76-9E1813E58D20}"/>
            </c:ext>
          </c:extLst>
        </c:ser>
        <c:ser>
          <c:idx val="104"/>
          <c:order val="104"/>
          <c:tx>
            <c:strRef>
              <c:f>'3. CEF &amp; EEF'!$B$191</c:f>
              <c:strCache>
                <c:ptCount val="1"/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EEF'!$E$191:$I$191</c:f>
            </c:numRef>
          </c:val>
          <c:extLst>
            <c:ext xmlns:c16="http://schemas.microsoft.com/office/drawing/2014/chart" uri="{C3380CC4-5D6E-409C-BE32-E72D297353CC}">
              <c16:uniqueId val="{00000068-A510-4676-BF76-9E1813E58D20}"/>
            </c:ext>
          </c:extLst>
        </c:ser>
        <c:ser>
          <c:idx val="105"/>
          <c:order val="105"/>
          <c:tx>
            <c:strRef>
              <c:f>'3. CEF &amp; EEF'!$B$192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'3. CEF &amp; EEF'!$E$192:$I$192</c:f>
            </c:numRef>
          </c:val>
          <c:extLst>
            <c:ext xmlns:c16="http://schemas.microsoft.com/office/drawing/2014/chart" uri="{C3380CC4-5D6E-409C-BE32-E72D297353CC}">
              <c16:uniqueId val="{00000069-A510-4676-BF76-9E1813E58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85844047"/>
        <c:axId val="1085858191"/>
      </c:barChart>
      <c:scatterChart>
        <c:scatterStyle val="lineMarker"/>
        <c:varyColors val="0"/>
        <c:ser>
          <c:idx val="106"/>
          <c:order val="106"/>
          <c:tx>
            <c:strRef>
              <c:f>'3. CEF &amp; EEF'!$B$193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'3. CEF &amp; EEF'!$E$33:$I$33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xVal>
          <c:yVal>
            <c:numRef>
              <c:f>'3. CEF &amp; EEF'!$E$193:$I$193</c:f>
              <c:numCache>
                <c:formatCode>0.0%</c:formatCode>
                <c:ptCount val="5"/>
                <c:pt idx="0">
                  <c:v>0.45353778365399566</c:v>
                </c:pt>
                <c:pt idx="1">
                  <c:v>0.51753936047994953</c:v>
                </c:pt>
                <c:pt idx="2">
                  <c:v>0.57015423602605941</c:v>
                </c:pt>
                <c:pt idx="3">
                  <c:v>0.59729643434830226</c:v>
                </c:pt>
                <c:pt idx="4">
                  <c:v>0.3971456031469941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A-A510-4676-BF76-9E1813E58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844047"/>
        <c:axId val="1085858191"/>
      </c:scatterChart>
      <c:catAx>
        <c:axId val="108584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1085858191"/>
        <c:crosses val="autoZero"/>
        <c:auto val="1"/>
        <c:lblAlgn val="ctr"/>
        <c:lblOffset val="100"/>
        <c:noMultiLvlLbl val="0"/>
      </c:catAx>
      <c:valAx>
        <c:axId val="1085858191"/>
        <c:scaling>
          <c:orientation val="minMax"/>
          <c:max val="1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dirty="0"/>
                  <a:t>Energy efficiency (%)</a:t>
                </a:r>
              </a:p>
            </c:rich>
          </c:tx>
          <c:layout>
            <c:manualLayout>
              <c:xMode val="edge"/>
              <c:yMode val="edge"/>
              <c:x val="0"/>
              <c:y val="0.187801152549897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1085844047"/>
        <c:crosses val="autoZero"/>
        <c:crossBetween val="between"/>
        <c:majorUnit val="0.2"/>
      </c:valAx>
      <c:spPr>
        <a:noFill/>
        <a:ln w="1270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1813881127762255"/>
          <c:y val="0"/>
          <c:w val="0.77738090198402598"/>
          <c:h val="8.9215589549885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246988595157043"/>
          <c:y val="3.7932946620058881E-2"/>
          <c:w val="0.84479398148148144"/>
          <c:h val="0.68151882151641541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'4-1. UPC &amp; NCE(Grid)'!$D$110</c:f>
              <c:strCache>
                <c:ptCount val="1"/>
                <c:pt idx="0">
                  <c:v>Annualized capital cost</c:v>
                </c:pt>
              </c:strCache>
            </c:strRef>
          </c:tx>
          <c:spPr>
            <a:solidFill>
              <a:srgbClr val="A5B592">
                <a:lumMod val="75000"/>
              </a:srgbClr>
            </a:solidFill>
            <a:ln>
              <a:noFill/>
            </a:ln>
            <a:effectLst/>
          </c:spPr>
          <c:invertIfNegative val="0"/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NCE(Grid)'!$F$110:$S$110</c:f>
              <c:numCache>
                <c:formatCode>#,##0.00</c:formatCode>
                <c:ptCount val="8"/>
                <c:pt idx="0">
                  <c:v>0.19368639922631645</c:v>
                </c:pt>
                <c:pt idx="1">
                  <c:v>0.1435379387480753</c:v>
                </c:pt>
                <c:pt idx="2">
                  <c:v>0.11411020720838039</c:v>
                </c:pt>
                <c:pt idx="3">
                  <c:v>8.9485436119457987E-2</c:v>
                </c:pt>
                <c:pt idx="4">
                  <c:v>0.19962941899940617</c:v>
                </c:pt>
                <c:pt idx="5">
                  <c:v>0.15052583616451159</c:v>
                </c:pt>
                <c:pt idx="6">
                  <c:v>0.12009574030509464</c:v>
                </c:pt>
                <c:pt idx="7">
                  <c:v>9.578240487596841E-2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74-4E7C-9EE7-7A9DEBAAF887}"/>
            </c:ext>
          </c:extLst>
        </c:ser>
        <c:ser>
          <c:idx val="1"/>
          <c:order val="1"/>
          <c:tx>
            <c:strRef>
              <c:f>'4-1. UPC &amp; NCE(Grid)'!$D$111</c:f>
              <c:strCache>
                <c:ptCount val="1"/>
                <c:pt idx="0">
                  <c:v>Raw material</c:v>
                </c:pt>
              </c:strCache>
            </c:strRef>
          </c:tx>
          <c:spPr>
            <a:solidFill>
              <a:srgbClr val="A5B59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NCE(Grid)'!$F$111:$S$111</c:f>
              <c:numCache>
                <c:formatCode>#,##0.00</c:formatCode>
                <c:ptCount val="8"/>
                <c:pt idx="0">
                  <c:v>0.36199978024561419</c:v>
                </c:pt>
                <c:pt idx="1">
                  <c:v>0.28821501146319584</c:v>
                </c:pt>
                <c:pt idx="2">
                  <c:v>0.23172178756266085</c:v>
                </c:pt>
                <c:pt idx="3">
                  <c:v>0.18908515522854558</c:v>
                </c:pt>
                <c:pt idx="4">
                  <c:v>0.34324804812267551</c:v>
                </c:pt>
                <c:pt idx="5">
                  <c:v>0.27409291479952419</c:v>
                </c:pt>
                <c:pt idx="6">
                  <c:v>0.22212752802587368</c:v>
                </c:pt>
                <c:pt idx="7">
                  <c:v>0.18287138448385495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74-4E7C-9EE7-7A9DEBAAF887}"/>
            </c:ext>
          </c:extLst>
        </c:ser>
        <c:ser>
          <c:idx val="2"/>
          <c:order val="2"/>
          <c:tx>
            <c:strRef>
              <c:f>'4-1. UPC &amp; NCE(Grid)'!$D$112</c:f>
              <c:strCache>
                <c:ptCount val="1"/>
                <c:pt idx="0">
                  <c:v>Utility</c:v>
                </c:pt>
              </c:strCache>
            </c:strRef>
          </c:tx>
          <c:spPr>
            <a:solidFill>
              <a:srgbClr val="A5B592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NCE(Grid)'!$F$112:$S$112</c:f>
              <c:numCache>
                <c:formatCode>#,##0.00</c:formatCode>
                <c:ptCount val="8"/>
                <c:pt idx="0">
                  <c:v>0.75115550440208656</c:v>
                </c:pt>
                <c:pt idx="1">
                  <c:v>0.49563540414024693</c:v>
                </c:pt>
                <c:pt idx="2">
                  <c:v>0.34297281974704319</c:v>
                </c:pt>
                <c:pt idx="3">
                  <c:v>0.25979782663023221</c:v>
                </c:pt>
                <c:pt idx="4">
                  <c:v>0.79561973531430108</c:v>
                </c:pt>
                <c:pt idx="5">
                  <c:v>0.53660915992079328</c:v>
                </c:pt>
                <c:pt idx="6">
                  <c:v>0.37627806557753718</c:v>
                </c:pt>
                <c:pt idx="7">
                  <c:v>0.28787774869139754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74-4E7C-9EE7-7A9DEBAAF887}"/>
            </c:ext>
          </c:extLst>
        </c:ser>
        <c:ser>
          <c:idx val="0"/>
          <c:order val="3"/>
          <c:tx>
            <c:strRef>
              <c:f>'4-1. UPC &amp; NCE(Grid)'!$D$113</c:f>
              <c:strCache>
                <c:ptCount val="1"/>
                <c:pt idx="0">
                  <c:v>Fixed operating cost</c:v>
                </c:pt>
              </c:strCache>
            </c:strRef>
          </c:tx>
          <c:spPr>
            <a:solidFill>
              <a:srgbClr val="A5B592">
                <a:lumMod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NCE(Grid)'!$F$113:$S$113</c:f>
              <c:numCache>
                <c:formatCode>#,##0.00</c:formatCode>
                <c:ptCount val="8"/>
                <c:pt idx="0">
                  <c:v>5.4120032288291674E-2</c:v>
                </c:pt>
                <c:pt idx="1">
                  <c:v>4.0107503214842063E-2</c:v>
                </c:pt>
                <c:pt idx="2">
                  <c:v>3.1884779329937107E-2</c:v>
                </c:pt>
                <c:pt idx="3">
                  <c:v>2.5004103083449282E-2</c:v>
                </c:pt>
                <c:pt idx="4">
                  <c:v>5.5780636353906787E-2</c:v>
                </c:pt>
                <c:pt idx="5">
                  <c:v>4.2060067955141174E-2</c:v>
                </c:pt>
                <c:pt idx="6">
                  <c:v>3.3557262507644917E-2</c:v>
                </c:pt>
                <c:pt idx="7">
                  <c:v>2.6763607900421506E-2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74-4E7C-9EE7-7A9DEBAAF887}"/>
            </c:ext>
          </c:extLst>
        </c:ser>
        <c:ser>
          <c:idx val="5"/>
          <c:order val="4"/>
          <c:tx>
            <c:strRef>
              <c:f>'4-1. UPC &amp; NCE(Grid)'!$D$114</c:f>
              <c:strCache>
                <c:ptCount val="1"/>
                <c:pt idx="0">
                  <c:v>Credit_Hydrogen</c:v>
                </c:pt>
              </c:strCache>
            </c:strRef>
          </c:tx>
          <c:spPr>
            <a:solidFill>
              <a:srgbClr val="F3A4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NCE(Grid)'!$F$114:$S$114</c:f>
              <c:numCache>
                <c:formatCode>#,##0.00</c:formatCode>
                <c:ptCount val="8"/>
                <c:pt idx="0">
                  <c:v>-0.54338673227228906</c:v>
                </c:pt>
                <c:pt idx="1">
                  <c:v>-0.6219591375194069</c:v>
                </c:pt>
                <c:pt idx="2">
                  <c:v>-0.68005809231960601</c:v>
                </c:pt>
                <c:pt idx="3">
                  <c:v>-0.7988051450451088</c:v>
                </c:pt>
                <c:pt idx="4">
                  <c:v>-0.54338673227228906</c:v>
                </c:pt>
                <c:pt idx="5">
                  <c:v>-0.6219591375194069</c:v>
                </c:pt>
                <c:pt idx="6">
                  <c:v>-0.68005809231960601</c:v>
                </c:pt>
                <c:pt idx="7">
                  <c:v>-0.7988051450451088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A74-4E7C-9EE7-7A9DEBAAF887}"/>
            </c:ext>
          </c:extLst>
        </c:ser>
        <c:ser>
          <c:idx val="6"/>
          <c:order val="5"/>
          <c:tx>
            <c:strRef>
              <c:f>'4-1. UPC &amp; NCE(Grid)'!$D$115</c:f>
              <c:strCache>
                <c:ptCount val="1"/>
                <c:pt idx="0">
                  <c:v>Credit_Raw Naphthalene</c:v>
                </c:pt>
              </c:strCache>
            </c:strRef>
          </c:tx>
          <c:spPr>
            <a:solidFill>
              <a:srgbClr val="E7BC29"/>
            </a:solidFill>
            <a:ln>
              <a:noFill/>
            </a:ln>
            <a:effectLst/>
          </c:spPr>
          <c:invertIfNegative val="0"/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NCE(Grid)'!$F$115:$S$115</c:f>
              <c:numCache>
                <c:formatCode>#,##0.00</c:formatCode>
                <c:ptCount val="8"/>
                <c:pt idx="0">
                  <c:v>-5.4760577003244585E-3</c:v>
                </c:pt>
                <c:pt idx="1">
                  <c:v>-9.9636975963702211E-3</c:v>
                </c:pt>
                <c:pt idx="2">
                  <c:v>-1.6548110850575552E-2</c:v>
                </c:pt>
                <c:pt idx="3">
                  <c:v>-2.6341421958585087E-2</c:v>
                </c:pt>
                <c:pt idx="4">
                  <c:v>-5.4760577003244585E-3</c:v>
                </c:pt>
                <c:pt idx="5">
                  <c:v>-9.9636975963702211E-3</c:v>
                </c:pt>
                <c:pt idx="6">
                  <c:v>-1.6548110850575552E-2</c:v>
                </c:pt>
                <c:pt idx="7">
                  <c:v>-2.6341421958585087E-2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74-4E7C-9EE7-7A9DEBAAF887}"/>
            </c:ext>
          </c:extLst>
        </c:ser>
        <c:ser>
          <c:idx val="4"/>
          <c:order val="6"/>
          <c:tx>
            <c:strRef>
              <c:f>'4-1. UPC &amp; NCE(Grid)'!$D$116</c:f>
              <c:strCache>
                <c:ptCount val="1"/>
                <c:pt idx="0">
                  <c:v>Credit_Benzene</c:v>
                </c:pt>
              </c:strCache>
            </c:strRef>
          </c:tx>
          <c:spPr>
            <a:solidFill>
              <a:srgbClr val="D092A7"/>
            </a:solidFill>
            <a:ln>
              <a:noFill/>
            </a:ln>
            <a:effectLst/>
          </c:spPr>
          <c:invertIfNegative val="0"/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NCE(Grid)'!$F$116:$S$116</c:f>
              <c:numCache>
                <c:formatCode>#,##0.00</c:formatCode>
                <c:ptCount val="8"/>
                <c:pt idx="0">
                  <c:v>-5.895869955695146E-2</c:v>
                </c:pt>
                <c:pt idx="1">
                  <c:v>-8.9310760465522915E-2</c:v>
                </c:pt>
                <c:pt idx="2">
                  <c:v>-0.12131539456297778</c:v>
                </c:pt>
                <c:pt idx="3">
                  <c:v>-0.17029359661998092</c:v>
                </c:pt>
                <c:pt idx="4">
                  <c:v>-5.895869955695146E-2</c:v>
                </c:pt>
                <c:pt idx="5">
                  <c:v>-8.9310760465522915E-2</c:v>
                </c:pt>
                <c:pt idx="6">
                  <c:v>-0.12131539456297778</c:v>
                </c:pt>
                <c:pt idx="7">
                  <c:v>-0.17029359661998092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A74-4E7C-9EE7-7A9DEBAAF887}"/>
            </c:ext>
          </c:extLst>
        </c:ser>
        <c:ser>
          <c:idx val="7"/>
          <c:order val="7"/>
          <c:tx>
            <c:strRef>
              <c:f>'4-1. UPC &amp; NCE(Grid)'!$D$117</c:f>
              <c:strCache>
                <c:ptCount val="1"/>
                <c:pt idx="0">
                  <c:v>Credit_C2-C5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NCE(Grid)'!$F$117:$S$117</c:f>
              <c:numCache>
                <c:formatCode>#,##0.00</c:formatCode>
                <c:ptCount val="8"/>
                <c:pt idx="0">
                  <c:v>-1.6840268938956869E-2</c:v>
                </c:pt>
                <c:pt idx="1">
                  <c:v>-1.4043735345025217E-2</c:v>
                </c:pt>
                <c:pt idx="2">
                  <c:v>-1.4618084511545434E-2</c:v>
                </c:pt>
                <c:pt idx="3">
                  <c:v>-1.1382206538552033E-2</c:v>
                </c:pt>
                <c:pt idx="4">
                  <c:v>-1.6840268938956869E-2</c:v>
                </c:pt>
                <c:pt idx="5">
                  <c:v>-1.4043735345025217E-2</c:v>
                </c:pt>
                <c:pt idx="6">
                  <c:v>-1.4618084511545434E-2</c:v>
                </c:pt>
                <c:pt idx="7">
                  <c:v>-1.1382206538552033E-2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A74-4E7C-9EE7-7A9DEBAAF887}"/>
            </c:ext>
          </c:extLst>
        </c:ser>
        <c:ser>
          <c:idx val="8"/>
          <c:order val="8"/>
          <c:tx>
            <c:strRef>
              <c:f>'4-1. UPC &amp; NCE(Grid)'!$D$118</c:f>
              <c:strCache>
                <c:ptCount val="1"/>
              </c:strCache>
            </c:strRef>
          </c:tx>
          <c:spPr>
            <a:solidFill>
              <a:srgbClr val="809EC2"/>
            </a:solidFill>
            <a:ln>
              <a:noFill/>
            </a:ln>
            <a:effectLst/>
          </c:spPr>
          <c:invertIfNegative val="0"/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NCE(Grid)'!$F$118:$S$118</c:f>
              <c:numCache>
                <c:formatCode>#,##0.00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D-AA74-4E7C-9EE7-7A9DEBAAF887}"/>
            </c:ext>
          </c:extLst>
        </c:ser>
        <c:ser>
          <c:idx val="9"/>
          <c:order val="9"/>
          <c:tx>
            <c:strRef>
              <c:f>'4-1. UPC &amp; NCE(Grid)'!$D$119</c:f>
              <c:strCache>
                <c:ptCount val="1"/>
                <c:pt idx="0">
                  <c:v>Credit_CO2</c:v>
                </c:pt>
              </c:strCache>
            </c:strRef>
          </c:tx>
          <c:spPr>
            <a:solidFill>
              <a:srgbClr val="9966FF"/>
            </a:solidFill>
            <a:ln w="25400">
              <a:noFill/>
            </a:ln>
            <a:effectLst/>
          </c:spPr>
          <c:invertIfNegative val="0"/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NCE(Grid)'!$F$119:$S$119</c:f>
              <c:numCache>
                <c:formatCode>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-0.12805075292903281</c:v>
                </c:pt>
                <c:pt idx="5">
                  <c:v>-0.11988664428572704</c:v>
                </c:pt>
                <c:pt idx="6">
                  <c:v>-0.10902534562583889</c:v>
                </c:pt>
                <c:pt idx="7">
                  <c:v>-0.11244904122060595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A74-4E7C-9EE7-7A9DEBAAF887}"/>
            </c:ext>
          </c:extLst>
        </c:ser>
        <c:ser>
          <c:idx val="10"/>
          <c:order val="10"/>
          <c:tx>
            <c:strRef>
              <c:f>'4-1. UPC &amp; NCE(Grid)'!$D$120</c:f>
              <c:strCache>
                <c:ptCount val="1"/>
              </c:strCache>
            </c:strRef>
          </c:tx>
          <c:spPr>
            <a:solidFill>
              <a:srgbClr val="4472C4"/>
            </a:solidFill>
            <a:ln w="25400">
              <a:noFill/>
            </a:ln>
            <a:effectLst/>
          </c:spPr>
          <c:invertIfNegative val="0"/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NCE(Grid)'!$F$120:$S$120</c:f>
              <c:numCache>
                <c:formatCode>#,##0.00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0-AA74-4E7C-9EE7-7A9DEBAAF887}"/>
            </c:ext>
          </c:extLst>
        </c:ser>
        <c:ser>
          <c:idx val="11"/>
          <c:order val="11"/>
          <c:tx>
            <c:strRef>
              <c:f>'4-1. UPC &amp; NCE(Grid)'!$D$121</c:f>
              <c:strCache>
                <c:ptCount val="1"/>
              </c:strCache>
            </c:strRef>
          </c:tx>
          <c:spPr>
            <a:solidFill>
              <a:srgbClr val="6600CC"/>
            </a:solidFill>
            <a:ln w="25400">
              <a:noFill/>
            </a:ln>
            <a:effectLst/>
          </c:spPr>
          <c:invertIfNegative val="0"/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NCE(Grid)'!$F$121:$S$121</c:f>
              <c:numCache>
                <c:formatCode>#,##0.00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2-AA74-4E7C-9EE7-7A9DEBAAF887}"/>
            </c:ext>
          </c:extLst>
        </c:ser>
        <c:ser>
          <c:idx val="12"/>
          <c:order val="12"/>
          <c:tx>
            <c:strRef>
              <c:f>'4-1. UPC &amp; NCE(Grid)'!$D$122</c:f>
              <c:strCache>
                <c:ptCount val="1"/>
              </c:strCache>
            </c:strRef>
          </c:tx>
          <c:spPr>
            <a:solidFill>
              <a:srgbClr val="996633"/>
            </a:solidFill>
            <a:ln w="25400">
              <a:noFill/>
            </a:ln>
            <a:effectLst/>
          </c:spPr>
          <c:invertIfNegative val="0"/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NCE(Grid)'!$F$122:$S$122</c:f>
              <c:numCache>
                <c:formatCode>#,##0.00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3-AA74-4E7C-9EE7-7A9DEBAAF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548495808"/>
        <c:axId val="548484992"/>
      </c:barChart>
      <c:scatterChart>
        <c:scatterStyle val="lineMarker"/>
        <c:varyColors val="0"/>
        <c:ser>
          <c:idx val="13"/>
          <c:order val="13"/>
          <c:tx>
            <c:strRef>
              <c:f>'4-1. UPC &amp; NCE(Grid)'!$D$123</c:f>
              <c:strCache>
                <c:ptCount val="1"/>
                <c:pt idx="0">
                  <c:v>UPC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xVal>
          <c:yVal>
            <c:numRef>
              <c:f>'4-1. UPC &amp; NCE(Grid)'!$F$123:$S$123</c:f>
              <c:numCache>
                <c:formatCode>_(* #,##0.00_);_(* \(#,##0.00\);_(* "-"??_);_(@_)</c:formatCode>
                <c:ptCount val="8"/>
                <c:pt idx="0">
                  <c:v>1.3609617161623091</c:v>
                </c:pt>
                <c:pt idx="1">
                  <c:v>0.96749585756636014</c:v>
                </c:pt>
                <c:pt idx="2">
                  <c:v>0.72068959384802156</c:v>
                </c:pt>
                <c:pt idx="3">
                  <c:v>0.56337252106168501</c:v>
                </c:pt>
                <c:pt idx="4">
                  <c:v>1.3942778387902897</c:v>
                </c:pt>
                <c:pt idx="5">
                  <c:v>1.0032879788399702</c:v>
                </c:pt>
                <c:pt idx="6">
                  <c:v>0.75205859641615036</c:v>
                </c:pt>
                <c:pt idx="7">
                  <c:v>0.59329514595164234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A74-4E7C-9EE7-7A9DEBAAF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495808"/>
        <c:axId val="548484992"/>
      </c:scatterChart>
      <c:catAx>
        <c:axId val="54849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84992"/>
        <c:crosses val="autoZero"/>
        <c:auto val="1"/>
        <c:lblAlgn val="ctr"/>
        <c:lblOffset val="100"/>
        <c:noMultiLvlLbl val="0"/>
      </c:catAx>
      <c:valAx>
        <c:axId val="548484992"/>
        <c:scaling>
          <c:orientation val="minMax"/>
          <c:max val="4"/>
          <c:min val="-2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dirty="0"/>
                  <a:t>Unit production cost of olefin ($/kg)</a:t>
                </a:r>
              </a:p>
            </c:rich>
          </c:tx>
          <c:layout>
            <c:manualLayout>
              <c:xMode val="edge"/>
              <c:yMode val="edge"/>
              <c:x val="1.3055719476532822E-2"/>
              <c:y val="4.2388305210654779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95808"/>
        <c:crosses val="autoZero"/>
        <c:crossBetween val="between"/>
        <c:maj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egendEntry>
        <c:idx val="13"/>
        <c:delete val="1"/>
      </c:legendEntry>
      <c:layout>
        <c:manualLayout>
          <c:xMode val="edge"/>
          <c:yMode val="edge"/>
          <c:x val="0.16162900012322448"/>
          <c:y val="4.4139664207036682E-2"/>
          <c:w val="0.67380495039033295"/>
          <c:h val="0.249429205432574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612289394434798"/>
          <c:y val="1.8859968079106216E-2"/>
          <c:w val="0.84862672725478916"/>
          <c:h val="0.7231392879000612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'4-1. UPC &amp; NCE(Grid)'!$D$150</c:f>
              <c:strCache>
                <c:ptCount val="1"/>
                <c:pt idx="0">
                  <c:v>Feedstock inventory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8B-4F81-B42F-894FD0B5AC5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8B-4F81-B42F-894FD0B5AC5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8B-4F81-B42F-894FD0B5AC5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8B-4F81-B42F-894FD0B5AC55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'4-1. UPC &amp; NCE(Grid)'!$F$149:$S$149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NCE(Grid)'!$F$150:$S$150</c:f>
              <c:numCache>
                <c:formatCode>_(* #,##0.00_);_(* \(#,##0.00\);_(* "-"??_);_(@_)</c:formatCode>
                <c:ptCount val="8"/>
                <c:pt idx="0">
                  <c:v>0.4613232108852906</c:v>
                </c:pt>
                <c:pt idx="1">
                  <c:v>0.47796639019814352</c:v>
                </c:pt>
                <c:pt idx="2">
                  <c:v>0.48004149799767554</c:v>
                </c:pt>
                <c:pt idx="3">
                  <c:v>0.4989245554316234</c:v>
                </c:pt>
                <c:pt idx="4">
                  <c:v>0.4613232108852906</c:v>
                </c:pt>
                <c:pt idx="5">
                  <c:v>0.47796639019814352</c:v>
                </c:pt>
                <c:pt idx="6">
                  <c:v>0.48004149799767554</c:v>
                </c:pt>
                <c:pt idx="7">
                  <c:v>0.4989245554316234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8B-4F81-B42F-894FD0B5AC55}"/>
            </c:ext>
          </c:extLst>
        </c:ser>
        <c:ser>
          <c:idx val="2"/>
          <c:order val="1"/>
          <c:tx>
            <c:strRef>
              <c:f>'4-1. UPC &amp; NCE(Grid)'!$D$151</c:f>
              <c:strCache>
                <c:ptCount val="1"/>
                <c:pt idx="0">
                  <c:v>Direct emission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'4-1. UPC &amp; NCE(Grid)'!$F$149:$S$149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NCE(Grid)'!$F$151:$S$151</c:f>
              <c:numCache>
                <c:formatCode>_(* #,##0.00_);_(* \(#,##0.00\);_(* "-"??_);_(@_)</c:formatCode>
                <c:ptCount val="8"/>
                <c:pt idx="0">
                  <c:v>2.9978772224111885</c:v>
                </c:pt>
                <c:pt idx="1">
                  <c:v>2.5386485177479297</c:v>
                </c:pt>
                <c:pt idx="2">
                  <c:v>2.1625822739606644</c:v>
                </c:pt>
                <c:pt idx="3">
                  <c:v>2.110369207245923</c:v>
                </c:pt>
                <c:pt idx="4">
                  <c:v>0.39952981210696231</c:v>
                </c:pt>
                <c:pt idx="5">
                  <c:v>0.2203203481750054</c:v>
                </c:pt>
                <c:pt idx="6">
                  <c:v>0.17497864721069811</c:v>
                </c:pt>
                <c:pt idx="7">
                  <c:v>0.20933017050316996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08B-4F81-B42F-894FD0B5AC55}"/>
            </c:ext>
          </c:extLst>
        </c:ser>
        <c:ser>
          <c:idx val="0"/>
          <c:order val="2"/>
          <c:tx>
            <c:strRef>
              <c:f>'4-1. UPC &amp; NCE(Grid)'!$D$152</c:f>
              <c:strCache>
                <c:ptCount val="1"/>
                <c:pt idx="0">
                  <c:v>Indirect emission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'4-1. UPC &amp; NCE(Grid)'!$F$149:$S$149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NCE(Grid)'!$F$152:$S$152</c:f>
              <c:numCache>
                <c:formatCode>_(* #,##0.00_);_(* \(#,##0.00\);_(* "-"??_);_(@_)</c:formatCode>
                <c:ptCount val="8"/>
                <c:pt idx="0">
                  <c:v>4.310260929878841</c:v>
                </c:pt>
                <c:pt idx="1">
                  <c:v>3.2387694564490941</c:v>
                </c:pt>
                <c:pt idx="2">
                  <c:v>2.7866522884380549</c:v>
                </c:pt>
                <c:pt idx="3">
                  <c:v>2.532412807318654</c:v>
                </c:pt>
                <c:pt idx="4">
                  <c:v>5.0397514416268248</c:v>
                </c:pt>
                <c:pt idx="5">
                  <c:v>3.8721964147507064</c:v>
                </c:pt>
                <c:pt idx="6">
                  <c:v>3.3099455158565592</c:v>
                </c:pt>
                <c:pt idx="7">
                  <c:v>2.9994330856547733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08B-4F81-B42F-894FD0B5A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548495808"/>
        <c:axId val="548484992"/>
      </c:barChart>
      <c:scatterChart>
        <c:scatterStyle val="lineMarker"/>
        <c:varyColors val="0"/>
        <c:ser>
          <c:idx val="3"/>
          <c:order val="3"/>
          <c:tx>
            <c:strRef>
              <c:f>'4-1. UPC &amp; NCE(Grid)'!$D$154</c:f>
              <c:strCache>
                <c:ptCount val="1"/>
                <c:pt idx="0">
                  <c:v>Net CO2eq emission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strRef>
              <c:f>'4-1. UPC &amp; NCE(Grid)'!$F$149:$S$149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xVal>
          <c:yVal>
            <c:numRef>
              <c:f>'4-1. UPC &amp; NCE(Grid)'!$F$154:$S$154</c:f>
              <c:numCache>
                <c:formatCode>_(* #,##0.00_);_(* \(#,##0.00\);_(* "-"??_);_(@_)</c:formatCode>
                <c:ptCount val="8"/>
                <c:pt idx="0">
                  <c:v>7.7694613631753207</c:v>
                </c:pt>
                <c:pt idx="1">
                  <c:v>6.2553843643951677</c:v>
                </c:pt>
                <c:pt idx="2">
                  <c:v>5.4292760603963952</c:v>
                </c:pt>
                <c:pt idx="3">
                  <c:v>5.1417065699962006</c:v>
                </c:pt>
                <c:pt idx="4">
                  <c:v>5.9006044646190778</c:v>
                </c:pt>
                <c:pt idx="5">
                  <c:v>4.5704831531238552</c:v>
                </c:pt>
                <c:pt idx="6">
                  <c:v>3.9649656610649329</c:v>
                </c:pt>
                <c:pt idx="7">
                  <c:v>3.7076878115895666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08B-4F81-B42F-894FD0B5A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495808"/>
        <c:axId val="548484992"/>
      </c:scatterChart>
      <c:catAx>
        <c:axId val="54849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84992"/>
        <c:crosses val="autoZero"/>
        <c:auto val="1"/>
        <c:lblAlgn val="ctr"/>
        <c:lblOffset val="100"/>
        <c:noMultiLvlLbl val="0"/>
      </c:catAx>
      <c:valAx>
        <c:axId val="548484992"/>
        <c:scaling>
          <c:orientation val="minMax"/>
          <c:max val="14"/>
          <c:min val="-6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dirty="0"/>
                  <a:t>Net CO</a:t>
                </a:r>
                <a:r>
                  <a:rPr lang="en-US" sz="1000" b="1" dirty="0"/>
                  <a:t>2eq</a:t>
                </a:r>
                <a:r>
                  <a:rPr lang="en-US" b="1" dirty="0"/>
                  <a:t> emission (kgCO</a:t>
                </a:r>
                <a:r>
                  <a:rPr lang="en-US" sz="1000" b="1" baseline="0" dirty="0"/>
                  <a:t>2eq</a:t>
                </a:r>
                <a:r>
                  <a:rPr lang="en-US" b="1" dirty="0"/>
                  <a:t>/</a:t>
                </a:r>
                <a:r>
                  <a:rPr lang="en-US" b="1" dirty="0" err="1"/>
                  <a:t>kgolefin</a:t>
                </a:r>
                <a:r>
                  <a:rPr lang="en-US" b="1" dirty="0"/>
                  <a:t>)</a:t>
                </a:r>
              </a:p>
            </c:rich>
          </c:tx>
          <c:layout>
            <c:manualLayout>
              <c:xMode val="edge"/>
              <c:yMode val="edge"/>
              <c:x val="1.9529036021940676E-3"/>
              <c:y val="1.177615208662784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95808"/>
        <c:crosses val="autoZero"/>
        <c:crossBetween val="between"/>
        <c:majorUnit val="2"/>
        <c:min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.68015208333333343"/>
          <c:y val="4.8339533999674396E-2"/>
          <c:w val="0.29227175925925936"/>
          <c:h val="0.135346685283368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65518857289577"/>
          <c:y val="4.0435777997790412E-2"/>
          <c:w val="0.82335185185185189"/>
          <c:h val="0.65049871277311033"/>
        </c:manualLayout>
      </c:layout>
      <c:lineChart>
        <c:grouping val="standard"/>
        <c:varyColors val="0"/>
        <c:ser>
          <c:idx val="0"/>
          <c:order val="0"/>
          <c:tx>
            <c:strRef>
              <c:f>'4-1. UPC &amp; NCE(Grid)'!$AH$93</c:f>
              <c:strCache>
                <c:ptCount val="1"/>
                <c:pt idx="0">
                  <c:v>Case 1_FH</c:v>
                </c:pt>
              </c:strCache>
            </c:strRef>
          </c:tx>
          <c:marker>
            <c:symbol val="circle"/>
            <c:size val="7"/>
            <c:spPr>
              <a:solidFill>
                <a:schemeClr val="accent5"/>
              </a:solidFill>
              <a:ln w="6350" cap="flat" cmpd="sng" algn="ctr">
                <a:noFill/>
                <a:prstDash val="solid"/>
                <a:miter lim="800000"/>
              </a:ln>
              <a:effectLst/>
            </c:spPr>
          </c:marker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NCE(Grid)'!$AH$94:$AH$100</c:f>
              <c:numCache>
                <c:formatCode>0.00</c:formatCode>
                <c:ptCount val="7"/>
                <c:pt idx="0">
                  <c:v>1.1198933583203121</c:v>
                </c:pt>
                <c:pt idx="1">
                  <c:v>1.1991562153548323</c:v>
                </c:pt>
                <c:pt idx="2">
                  <c:v>1.2784190723893527</c:v>
                </c:pt>
                <c:pt idx="3">
                  <c:v>1.3576819294238733</c:v>
                </c:pt>
                <c:pt idx="4">
                  <c:v>1.436944786458394</c:v>
                </c:pt>
                <c:pt idx="5">
                  <c:v>1.5162076434929144</c:v>
                </c:pt>
                <c:pt idx="6">
                  <c:v>1.5954705005274348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2-45FC-ADBE-2965193FFE98}"/>
            </c:ext>
          </c:extLst>
        </c:ser>
        <c:ser>
          <c:idx val="1"/>
          <c:order val="1"/>
          <c:tx>
            <c:strRef>
              <c:f>'4-1. UPC &amp; NCE(Grid)'!$AI$93</c:f>
              <c:strCache>
                <c:ptCount val="1"/>
                <c:pt idx="0">
                  <c:v>Case 2_FH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7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63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marker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NCE(Grid)'!$AI$94:$AI$100</c:f>
              <c:numCache>
                <c:formatCode>0.00</c:formatCode>
                <c:ptCount val="7"/>
                <c:pt idx="0">
                  <c:v>0.7432643367167785</c:v>
                </c:pt>
                <c:pt idx="1">
                  <c:v>0.81957538536814256</c:v>
                </c:pt>
                <c:pt idx="2">
                  <c:v>0.89588643401950696</c:v>
                </c:pt>
                <c:pt idx="3">
                  <c:v>0.97219748267087103</c:v>
                </c:pt>
                <c:pt idx="4">
                  <c:v>1.0485085313222353</c:v>
                </c:pt>
                <c:pt idx="5">
                  <c:v>1.1248195799735996</c:v>
                </c:pt>
                <c:pt idx="6">
                  <c:v>1.2011306286249634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02-45FC-ADBE-2965193FFE98}"/>
            </c:ext>
          </c:extLst>
        </c:ser>
        <c:ser>
          <c:idx val="2"/>
          <c:order val="2"/>
          <c:tx>
            <c:strRef>
              <c:f>'4-1. UPC &amp; NCE(Grid)'!$AJ$93</c:f>
              <c:strCache>
                <c:ptCount val="1"/>
                <c:pt idx="0">
                  <c:v>Case 3_FH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circle"/>
            <c:size val="7"/>
            <c:spPr>
              <a:solidFill>
                <a:schemeClr val="accent6"/>
              </a:solidFill>
              <a:ln w="6350" cap="flat" cmpd="sng" algn="ctr">
                <a:noFill/>
                <a:prstDash val="solid"/>
                <a:miter lim="800000"/>
              </a:ln>
              <a:effectLst/>
            </c:spPr>
          </c:marker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NCE(Grid)'!$AJ$94:$AJ$100</c:f>
              <c:numCache>
                <c:formatCode>0.00</c:formatCode>
                <c:ptCount val="7"/>
                <c:pt idx="0">
                  <c:v>0.49642908645570372</c:v>
                </c:pt>
                <c:pt idx="1">
                  <c:v>0.57168748954746773</c:v>
                </c:pt>
                <c:pt idx="2">
                  <c:v>0.6469458926392323</c:v>
                </c:pt>
                <c:pt idx="3">
                  <c:v>0.72220429573099632</c:v>
                </c:pt>
                <c:pt idx="4">
                  <c:v>0.79746269882276077</c:v>
                </c:pt>
                <c:pt idx="5">
                  <c:v>0.87272110191452479</c:v>
                </c:pt>
                <c:pt idx="6">
                  <c:v>0.94797950500628936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02-45FC-ADBE-2965193FFE98}"/>
            </c:ext>
          </c:extLst>
        </c:ser>
        <c:ser>
          <c:idx val="3"/>
          <c:order val="3"/>
          <c:tx>
            <c:strRef>
              <c:f>'4-1. UPC &amp; NCE(Grid)'!$AK$93</c:f>
              <c:strCache>
                <c:ptCount val="1"/>
                <c:pt idx="0">
                  <c:v>Case 4_FH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circle"/>
            <c:size val="7"/>
            <c:spPr>
              <a:solidFill>
                <a:schemeClr val="accent4"/>
              </a:solidFill>
              <a:ln>
                <a:noFill/>
              </a:ln>
            </c:spPr>
          </c:marker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NCE(Grid)'!$AK$94:$AK$100</c:f>
              <c:numCache>
                <c:formatCode>0.00</c:formatCode>
                <c:ptCount val="7"/>
                <c:pt idx="0">
                  <c:v>0.32426081736665957</c:v>
                </c:pt>
                <c:pt idx="1">
                  <c:v>0.40426710215490624</c:v>
                </c:pt>
                <c:pt idx="2">
                  <c:v>0.48427338694315286</c:v>
                </c:pt>
                <c:pt idx="3">
                  <c:v>0.56427967173139948</c:v>
                </c:pt>
                <c:pt idx="4">
                  <c:v>0.64428595651964615</c:v>
                </c:pt>
                <c:pt idx="5">
                  <c:v>0.72429224130789283</c:v>
                </c:pt>
                <c:pt idx="6">
                  <c:v>0.8042985260961395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02-45FC-ADBE-2965193FFE98}"/>
            </c:ext>
          </c:extLst>
        </c:ser>
        <c:ser>
          <c:idx val="4"/>
          <c:order val="4"/>
          <c:tx>
            <c:strRef>
              <c:f>'4-1. UPC &amp; NCE(Grid)'!$AL$93</c:f>
              <c:strCache>
                <c:ptCount val="1"/>
              </c:strCache>
            </c:strRef>
          </c:tx>
          <c:spPr>
            <a:ln>
              <a:solidFill>
                <a:srgbClr val="9966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9966FF"/>
              </a:solidFill>
              <a:ln>
                <a:noFill/>
              </a:ln>
            </c:spPr>
          </c:marker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NCE(Grid)'!$AL$94:$AL$100</c:f>
              <c:numCache>
                <c:formatCode>0.00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02-45FC-ADBE-2965193FFE98}"/>
            </c:ext>
          </c:extLst>
        </c:ser>
        <c:ser>
          <c:idx val="5"/>
          <c:order val="5"/>
          <c:tx>
            <c:strRef>
              <c:f>'4-1. UPC &amp; NCE(Grid)'!$AM$93</c:f>
              <c:strCache>
                <c:ptCount val="1"/>
                <c:pt idx="0">
                  <c:v>Case 4_efurnace</c:v>
                </c:pt>
              </c:strCache>
            </c:strRef>
          </c:tx>
          <c:spPr>
            <a:ln>
              <a:solidFill>
                <a:schemeClr val="accent4"/>
              </a:solidFill>
              <a:prstDash val="sysDash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NCE(Grid)'!$AM$94:$AM$100</c:f>
              <c:numCache>
                <c:formatCode>0.00</c:formatCode>
                <c:ptCount val="7"/>
                <c:pt idx="0">
                  <c:v>0.58809619194581564</c:v>
                </c:pt>
                <c:pt idx="1">
                  <c:v>0.64223093959095334</c:v>
                </c:pt>
                <c:pt idx="2">
                  <c:v>0.69636568723609116</c:v>
                </c:pt>
                <c:pt idx="3">
                  <c:v>0.75050043488122853</c:v>
                </c:pt>
                <c:pt idx="4">
                  <c:v>0.80463518252636634</c:v>
                </c:pt>
                <c:pt idx="5">
                  <c:v>0.85876993017150405</c:v>
                </c:pt>
                <c:pt idx="6">
                  <c:v>0.91290467781664153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02-45FC-ADBE-2965193FFE98}"/>
            </c:ext>
          </c:extLst>
        </c:ser>
        <c:ser>
          <c:idx val="6"/>
          <c:order val="6"/>
          <c:tx>
            <c:strRef>
              <c:f>'4-1. UPC &amp; NCE(Grid)'!$AN$93</c:f>
              <c:strCache>
                <c:ptCount val="1"/>
              </c:strCache>
            </c:strRef>
          </c:tx>
          <c:spPr>
            <a:ln>
              <a:solidFill>
                <a:srgbClr val="9966FF"/>
              </a:solidFill>
              <a:prstDash val="sysDash"/>
            </a:ln>
          </c:spPr>
          <c:marker>
            <c:symbol val="triangle"/>
            <c:size val="8"/>
            <c:spPr>
              <a:solidFill>
                <a:srgbClr val="9966FF"/>
              </a:solidFill>
              <a:ln>
                <a:solidFill>
                  <a:srgbClr val="9966FF"/>
                </a:solidFill>
              </a:ln>
            </c:spPr>
          </c:marker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NCE(Grid)'!$AN$94:$AN$100</c:f>
              <c:numCache>
                <c:formatCode>0.00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02-45FC-ADBE-2965193FFE98}"/>
            </c:ext>
          </c:extLst>
        </c:ser>
        <c:ser>
          <c:idx val="7"/>
          <c:order val="7"/>
          <c:tx>
            <c:strRef>
              <c:f>'4-1. UPC &amp; NCE(Grid)'!$AO$93</c:f>
              <c:strCache>
                <c:ptCount val="1"/>
                <c:pt idx="0">
                  <c:v>OCM</c:v>
                </c:pt>
              </c:strCache>
            </c:strRef>
          </c:tx>
          <c:marker>
            <c:symbol val="circle"/>
            <c:size val="6"/>
          </c:marker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NCE(Grid)'!$AO$94:$AO$100</c:f>
              <c:numCache>
                <c:formatCode>0.00</c:formatCode>
                <c:ptCount val="7"/>
                <c:pt idx="0">
                  <c:v>0.20731209375604584</c:v>
                </c:pt>
                <c:pt idx="1">
                  <c:v>0.26486519701697964</c:v>
                </c:pt>
                <c:pt idx="2">
                  <c:v>0.32241830027791329</c:v>
                </c:pt>
                <c:pt idx="3">
                  <c:v>0.37997140353884712</c:v>
                </c:pt>
                <c:pt idx="4">
                  <c:v>0.43752450679978061</c:v>
                </c:pt>
                <c:pt idx="5">
                  <c:v>0.49507761006071443</c:v>
                </c:pt>
                <c:pt idx="6">
                  <c:v>0.55263071332164826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C02-45FC-ADBE-2965193FFE98}"/>
            </c:ext>
          </c:extLst>
        </c:ser>
        <c:ser>
          <c:idx val="8"/>
          <c:order val="8"/>
          <c:tx>
            <c:strRef>
              <c:f>'4-1. UPC &amp; NCE(Grid)'!$AP$93</c:f>
              <c:strCache>
                <c:ptCount val="1"/>
                <c:pt idx="0">
                  <c:v>MTO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>
                <a:noFill/>
              </a:ln>
            </c:spPr>
          </c:marker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NCE(Grid)'!$AP$94:$AP$100</c:f>
              <c:numCache>
                <c:formatCode>0.00</c:formatCode>
                <c:ptCount val="7"/>
                <c:pt idx="0">
                  <c:v>0.42350103259569943</c:v>
                </c:pt>
                <c:pt idx="1">
                  <c:v>0.45111556293962757</c:v>
                </c:pt>
                <c:pt idx="2">
                  <c:v>0.47873009328355576</c:v>
                </c:pt>
                <c:pt idx="3">
                  <c:v>0.50634462362748389</c:v>
                </c:pt>
                <c:pt idx="4">
                  <c:v>0.53395915397141192</c:v>
                </c:pt>
                <c:pt idx="5">
                  <c:v>0.56157368431534005</c:v>
                </c:pt>
                <c:pt idx="6">
                  <c:v>0.58918821465926829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C02-45FC-ADBE-2965193FFE98}"/>
            </c:ext>
          </c:extLst>
        </c:ser>
        <c:ser>
          <c:idx val="9"/>
          <c:order val="9"/>
          <c:tx>
            <c:strRef>
              <c:f>'4-1. UPC &amp; NCE(Grid)'!$AQ$93</c:f>
              <c:strCache>
                <c:ptCount val="1"/>
                <c:pt idx="0">
                  <c:v>DHCO2</c:v>
                </c:pt>
              </c:strCache>
            </c:strRef>
          </c:tx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NCE(Grid)'!$AQ$94:$AQ$100</c:f>
              <c:numCache>
                <c:formatCode>0.00</c:formatCode>
                <c:ptCount val="7"/>
                <c:pt idx="0">
                  <c:v>3.779283016490445</c:v>
                </c:pt>
                <c:pt idx="1">
                  <c:v>3.779283016490445</c:v>
                </c:pt>
                <c:pt idx="2">
                  <c:v>3.779283016490445</c:v>
                </c:pt>
                <c:pt idx="3">
                  <c:v>3.779283016490445</c:v>
                </c:pt>
                <c:pt idx="4">
                  <c:v>3.779283016490445</c:v>
                </c:pt>
                <c:pt idx="5">
                  <c:v>3.779283016490445</c:v>
                </c:pt>
                <c:pt idx="6">
                  <c:v>3.779283016490445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C02-45FC-ADBE-2965193FFE98}"/>
            </c:ext>
          </c:extLst>
        </c:ser>
        <c:ser>
          <c:idx val="10"/>
          <c:order val="10"/>
          <c:tx>
            <c:strRef>
              <c:f>'4-1. UPC &amp; NCE(Grid)'!$AR$93</c:f>
              <c:strCache>
                <c:ptCount val="1"/>
                <c:pt idx="0">
                  <c:v>NapCracking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6"/>
            <c:spPr>
              <a:solidFill>
                <a:schemeClr val="tx1"/>
              </a:solidFill>
              <a:ln>
                <a:noFill/>
              </a:ln>
            </c:spPr>
          </c:marker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NCE(Grid)'!$AR$94:$AR$100</c:f>
              <c:numCache>
                <c:formatCode>0.00</c:formatCode>
                <c:ptCount val="7"/>
                <c:pt idx="0">
                  <c:v>0.92114647541509476</c:v>
                </c:pt>
                <c:pt idx="1">
                  <c:v>0.92114647541509476</c:v>
                </c:pt>
                <c:pt idx="2">
                  <c:v>0.92114647541509476</c:v>
                </c:pt>
                <c:pt idx="3">
                  <c:v>0.92114647541509476</c:v>
                </c:pt>
                <c:pt idx="4">
                  <c:v>0.92114647541509476</c:v>
                </c:pt>
                <c:pt idx="5">
                  <c:v>0.92114647541509476</c:v>
                </c:pt>
                <c:pt idx="6">
                  <c:v>0.92114647541509476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C02-45FC-ADBE-2965193FF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9286543"/>
        <c:axId val="1989289871"/>
      </c:lineChart>
      <c:catAx>
        <c:axId val="1989286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dirty="0"/>
                  <a:t>Natural gas feedstock price</a:t>
                </a:r>
                <a:r>
                  <a:rPr lang="en-US" sz="1200" b="1" baseline="0" dirty="0"/>
                  <a:t> ($/MMBTU)</a:t>
                </a:r>
                <a:endParaRPr lang="en-US" sz="1200" b="1" dirty="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1989289871"/>
        <c:crosses val="autoZero"/>
        <c:auto val="1"/>
        <c:lblAlgn val="ctr"/>
        <c:lblOffset val="100"/>
        <c:noMultiLvlLbl val="0"/>
      </c:catAx>
      <c:valAx>
        <c:axId val="1989289871"/>
        <c:scaling>
          <c:orientation val="minMax"/>
          <c:max val="2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baseline="0" dirty="0">
                    <a:effectLst/>
                  </a:rPr>
                  <a:t>Unit production cost of olefin ($/kg)</a:t>
                </a:r>
                <a:endParaRPr lang="en-US" sz="1200" dirty="0"/>
              </a:p>
            </c:rich>
          </c:tx>
          <c:layout>
            <c:manualLayout>
              <c:xMode val="edge"/>
              <c:yMode val="edge"/>
              <c:x val="3.0254629629629625E-4"/>
              <c:y val="5.7002338349570386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1989286543"/>
        <c:crossesAt val="1"/>
        <c:crossBetween val="between"/>
        <c:majorUnit val="0.25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egendEntry>
        <c:idx val="9"/>
        <c:delete val="1"/>
      </c:legendEntry>
      <c:layout>
        <c:manualLayout>
          <c:xMode val="edge"/>
          <c:yMode val="edge"/>
          <c:x val="9.5847647214268389E-2"/>
          <c:y val="0.82600471137535292"/>
          <c:w val="0.88256003685107898"/>
          <c:h val="0.173995288624647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 algn="ctr">
        <a:defRPr lang="en-US" sz="11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65518857289577"/>
          <c:y val="4.0435777997790412E-2"/>
          <c:w val="0.82335185185185189"/>
          <c:h val="0.65049871277311033"/>
        </c:manualLayout>
      </c:layout>
      <c:lineChart>
        <c:grouping val="standard"/>
        <c:varyColors val="0"/>
        <c:ser>
          <c:idx val="0"/>
          <c:order val="0"/>
          <c:tx>
            <c:strRef>
              <c:f>'4-1. UPC &amp; NCE(Grid)'!$AH$93</c:f>
              <c:strCache>
                <c:ptCount val="1"/>
                <c:pt idx="0">
                  <c:v>Case 1_FH</c:v>
                </c:pt>
              </c:strCache>
            </c:strRef>
          </c:tx>
          <c:marker>
            <c:symbol val="circle"/>
            <c:size val="7"/>
            <c:spPr>
              <a:solidFill>
                <a:schemeClr val="accent5"/>
              </a:solidFill>
              <a:ln w="6350" cap="flat" cmpd="sng" algn="ctr">
                <a:noFill/>
                <a:prstDash val="solid"/>
                <a:miter lim="800000"/>
              </a:ln>
              <a:effectLst/>
            </c:spPr>
          </c:marker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NCE(Grid)'!$AH$107:$AH$114</c:f>
              <c:numCache>
                <c:formatCode>0.00</c:formatCode>
                <c:ptCount val="8"/>
                <c:pt idx="0">
                  <c:v>1.66335340217425</c:v>
                </c:pt>
                <c:pt idx="1">
                  <c:v>1.5627262295312334</c:v>
                </c:pt>
                <c:pt idx="2">
                  <c:v>1.4620990568882168</c:v>
                </c:pt>
                <c:pt idx="3">
                  <c:v>1.3614718842452005</c:v>
                </c:pt>
                <c:pt idx="4">
                  <c:v>1.2608447116021839</c:v>
                </c:pt>
                <c:pt idx="5">
                  <c:v>1.1602175389591676</c:v>
                </c:pt>
                <c:pt idx="6">
                  <c:v>1.0595903663161512</c:v>
                </c:pt>
                <c:pt idx="7">
                  <c:v>0.95896319367313476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07-43F8-A749-99F23FB7FDF1}"/>
            </c:ext>
          </c:extLst>
        </c:ser>
        <c:ser>
          <c:idx val="1"/>
          <c:order val="1"/>
          <c:tx>
            <c:strRef>
              <c:f>'4-1. UPC &amp; NCE(Grid)'!$AI$93</c:f>
              <c:strCache>
                <c:ptCount val="1"/>
                <c:pt idx="0">
                  <c:v>Case 2_FH</c:v>
                </c:pt>
              </c:strCache>
            </c:strRef>
          </c:tx>
          <c:marker>
            <c:symbol val="circle"/>
            <c:size val="7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63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marker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NCE(Grid)'!$AI$107:$AI$114</c:f>
              <c:numCache>
                <c:formatCode>0.00</c:formatCode>
                <c:ptCount val="8"/>
                <c:pt idx="0">
                  <c:v>1.3286983016923515</c:v>
                </c:pt>
                <c:pt idx="1">
                  <c:v>1.2135206836332022</c:v>
                </c:pt>
                <c:pt idx="2">
                  <c:v>1.0983430655740527</c:v>
                </c:pt>
                <c:pt idx="3">
                  <c:v>0.98316544751490342</c:v>
                </c:pt>
                <c:pt idx="4">
                  <c:v>0.86798782945575403</c:v>
                </c:pt>
                <c:pt idx="5">
                  <c:v>0.75281021139660464</c:v>
                </c:pt>
                <c:pt idx="6">
                  <c:v>0.63763259333745503</c:v>
                </c:pt>
                <c:pt idx="7">
                  <c:v>0.52245497527830587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07-43F8-A749-99F23FB7FDF1}"/>
            </c:ext>
          </c:extLst>
        </c:ser>
        <c:ser>
          <c:idx val="2"/>
          <c:order val="2"/>
          <c:tx>
            <c:strRef>
              <c:f>'4-1. UPC &amp; NCE(Grid)'!$AJ$93</c:f>
              <c:strCache>
                <c:ptCount val="1"/>
                <c:pt idx="0">
                  <c:v>Case 3_FH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circle"/>
            <c:size val="7"/>
            <c:spPr>
              <a:solidFill>
                <a:schemeClr val="accent6"/>
              </a:solidFill>
              <a:ln w="6350" cap="flat" cmpd="sng" algn="ctr">
                <a:noFill/>
                <a:prstDash val="solid"/>
                <a:miter lim="800000"/>
              </a:ln>
              <a:effectLst/>
            </c:spPr>
          </c:marker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NCE(Grid)'!$AJ$107:$AJ$114</c:f>
              <c:numCache>
                <c:formatCode>0.00</c:formatCode>
                <c:ptCount val="8"/>
                <c:pt idx="0">
                  <c:v>1.1157701551026107</c:v>
                </c:pt>
                <c:pt idx="1">
                  <c:v>0.98983347133972088</c:v>
                </c:pt>
                <c:pt idx="2">
                  <c:v>0.86389678757683097</c:v>
                </c:pt>
                <c:pt idx="3">
                  <c:v>0.73796010381394095</c:v>
                </c:pt>
                <c:pt idx="4">
                  <c:v>0.61202342005105093</c:v>
                </c:pt>
                <c:pt idx="5">
                  <c:v>0.48608673628816079</c:v>
                </c:pt>
                <c:pt idx="6">
                  <c:v>0.36015005252527071</c:v>
                </c:pt>
                <c:pt idx="7">
                  <c:v>0.23421336876238086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07-43F8-A749-99F23FB7FDF1}"/>
            </c:ext>
          </c:extLst>
        </c:ser>
        <c:ser>
          <c:idx val="3"/>
          <c:order val="3"/>
          <c:tx>
            <c:strRef>
              <c:f>'4-1. UPC &amp; NCE(Grid)'!$AK$93</c:f>
              <c:strCache>
                <c:ptCount val="1"/>
                <c:pt idx="0">
                  <c:v>Case 4_FH</c:v>
                </c:pt>
              </c:strCache>
            </c:strRef>
          </c:tx>
          <c:marker>
            <c:symbol val="circle"/>
            <c:size val="7"/>
            <c:spPr>
              <a:solidFill>
                <a:schemeClr val="accent4"/>
              </a:solidFill>
              <a:ln>
                <a:noFill/>
              </a:ln>
            </c:spPr>
          </c:marker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NCE(Grid)'!$AK$107:$AK$114</c:f>
              <c:numCache>
                <c:formatCode>0.00</c:formatCode>
                <c:ptCount val="8"/>
                <c:pt idx="0">
                  <c:v>1.0304281683498002</c:v>
                </c:pt>
                <c:pt idx="1">
                  <c:v>0.88250128963774299</c:v>
                </c:pt>
                <c:pt idx="2">
                  <c:v>0.73457441092568587</c:v>
                </c:pt>
                <c:pt idx="3">
                  <c:v>0.58664753221362875</c:v>
                </c:pt>
                <c:pt idx="4">
                  <c:v>0.43872065350157152</c:v>
                </c:pt>
                <c:pt idx="5">
                  <c:v>0.29079377478951424</c:v>
                </c:pt>
                <c:pt idx="6">
                  <c:v>0.14286689607745726</c:v>
                </c:pt>
                <c:pt idx="7">
                  <c:v>-5.0599826345999969E-3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07-43F8-A749-99F23FB7FDF1}"/>
            </c:ext>
          </c:extLst>
        </c:ser>
        <c:ser>
          <c:idx val="4"/>
          <c:order val="4"/>
          <c:tx>
            <c:strRef>
              <c:f>'4-1. UPC &amp; NCE(Grid)'!$AL$93</c:f>
              <c:strCache>
                <c:ptCount val="1"/>
              </c:strCache>
            </c:strRef>
          </c:tx>
          <c:spPr>
            <a:ln>
              <a:solidFill>
                <a:srgbClr val="9966FF"/>
              </a:solidFill>
            </a:ln>
          </c:spPr>
          <c:marker>
            <c:symbol val="circle"/>
            <c:size val="7"/>
            <c:spPr>
              <a:solidFill>
                <a:srgbClr val="9966FF"/>
              </a:solidFill>
              <a:ln>
                <a:noFill/>
              </a:ln>
            </c:spPr>
          </c:marker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NCE(Grid)'!$AL$107:$AL$114</c:f>
              <c:numCache>
                <c:formatCode>0.00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07-43F8-A749-99F23FB7FDF1}"/>
            </c:ext>
          </c:extLst>
        </c:ser>
        <c:ser>
          <c:idx val="5"/>
          <c:order val="5"/>
          <c:tx>
            <c:strRef>
              <c:f>'4-1. UPC &amp; NCE(Grid)'!$AM$93</c:f>
              <c:strCache>
                <c:ptCount val="1"/>
                <c:pt idx="0">
                  <c:v>Case 4_efurnace</c:v>
                </c:pt>
              </c:strCache>
            </c:strRef>
          </c:tx>
          <c:spPr>
            <a:ln>
              <a:solidFill>
                <a:schemeClr val="accent4"/>
              </a:solidFill>
              <a:prstDash val="sysDash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NCE(Grid)'!$AM$107:$AM$114</c:f>
              <c:numCache>
                <c:formatCode>0.00</c:formatCode>
                <c:ptCount val="8"/>
                <c:pt idx="0">
                  <c:v>1.4654176806814727</c:v>
                </c:pt>
                <c:pt idx="1">
                  <c:v>1.340024590898929</c:v>
                </c:pt>
                <c:pt idx="2">
                  <c:v>1.2146315011163855</c:v>
                </c:pt>
                <c:pt idx="3">
                  <c:v>1.089238411333842</c:v>
                </c:pt>
                <c:pt idx="4">
                  <c:v>0.96384532155129832</c:v>
                </c:pt>
                <c:pt idx="5">
                  <c:v>0.83845223176875472</c:v>
                </c:pt>
                <c:pt idx="6">
                  <c:v>0.71305914198621112</c:v>
                </c:pt>
                <c:pt idx="7">
                  <c:v>0.58766605220366785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07-43F8-A749-99F23FB7FDF1}"/>
            </c:ext>
          </c:extLst>
        </c:ser>
        <c:ser>
          <c:idx val="6"/>
          <c:order val="6"/>
          <c:tx>
            <c:strRef>
              <c:f>'4-1. UPC &amp; NCE(Grid)'!$AN$93</c:f>
              <c:strCache>
                <c:ptCount val="1"/>
              </c:strCache>
            </c:strRef>
          </c:tx>
          <c:spPr>
            <a:ln>
              <a:solidFill>
                <a:srgbClr val="9966FF"/>
              </a:solidFill>
              <a:prstDash val="sysDash"/>
            </a:ln>
          </c:spPr>
          <c:marker>
            <c:symbol val="triangle"/>
            <c:size val="8"/>
            <c:spPr>
              <a:solidFill>
                <a:srgbClr val="9966FF"/>
              </a:solidFill>
              <a:ln>
                <a:solidFill>
                  <a:srgbClr val="9966FF"/>
                </a:solidFill>
              </a:ln>
            </c:spPr>
          </c:marker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NCE(Grid)'!$AN$107:$AN$114</c:f>
              <c:numCache>
                <c:formatCode>0.00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07-43F8-A749-99F23FB7FDF1}"/>
            </c:ext>
          </c:extLst>
        </c:ser>
        <c:ser>
          <c:idx val="7"/>
          <c:order val="7"/>
          <c:tx>
            <c:strRef>
              <c:f>'4-1. UPC &amp; NCE(Grid)'!$AO$93</c:f>
              <c:strCache>
                <c:ptCount val="1"/>
                <c:pt idx="0">
                  <c:v>OCM</c:v>
                </c:pt>
              </c:strCache>
            </c:strRef>
          </c:tx>
          <c:marker>
            <c:symbol val="circle"/>
            <c:size val="6"/>
          </c:marker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NCE(Grid)'!$AO$107:$AO$114</c:f>
              <c:numCache>
                <c:formatCode>0.00</c:formatCode>
                <c:ptCount val="8"/>
                <c:pt idx="0">
                  <c:v>0.35349697603881752</c:v>
                </c:pt>
                <c:pt idx="1">
                  <c:v>0.35349697603881752</c:v>
                </c:pt>
                <c:pt idx="2">
                  <c:v>0.35349697603881752</c:v>
                </c:pt>
                <c:pt idx="3">
                  <c:v>0.35349697603881752</c:v>
                </c:pt>
                <c:pt idx="4">
                  <c:v>0.35349697603881752</c:v>
                </c:pt>
                <c:pt idx="5">
                  <c:v>0.35349697603881752</c:v>
                </c:pt>
                <c:pt idx="6">
                  <c:v>0.35349697603881752</c:v>
                </c:pt>
                <c:pt idx="7">
                  <c:v>0.35349697603881752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D07-43F8-A749-99F23FB7FDF1}"/>
            </c:ext>
          </c:extLst>
        </c:ser>
        <c:ser>
          <c:idx val="8"/>
          <c:order val="8"/>
          <c:tx>
            <c:strRef>
              <c:f>'4-1. UPC &amp; NCE(Grid)'!$AP$93</c:f>
              <c:strCache>
                <c:ptCount val="1"/>
                <c:pt idx="0">
                  <c:v>MTO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>
                <a:noFill/>
              </a:ln>
            </c:spPr>
          </c:marker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NCE(Grid)'!$AP$107:$AP$114</c:f>
              <c:numCache>
                <c:formatCode>0.00</c:formatCode>
                <c:ptCount val="8"/>
                <c:pt idx="0">
                  <c:v>0.49364193966927694</c:v>
                </c:pt>
                <c:pt idx="1">
                  <c:v>0.49364193966927694</c:v>
                </c:pt>
                <c:pt idx="2">
                  <c:v>0.49364193966927694</c:v>
                </c:pt>
                <c:pt idx="3">
                  <c:v>0.49364193966927694</c:v>
                </c:pt>
                <c:pt idx="4">
                  <c:v>0.49364193966927694</c:v>
                </c:pt>
                <c:pt idx="5">
                  <c:v>0.49364193966927694</c:v>
                </c:pt>
                <c:pt idx="6">
                  <c:v>0.49364193966927694</c:v>
                </c:pt>
                <c:pt idx="7">
                  <c:v>0.49364193966927694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D07-43F8-A749-99F23FB7FDF1}"/>
            </c:ext>
          </c:extLst>
        </c:ser>
        <c:ser>
          <c:idx val="9"/>
          <c:order val="9"/>
          <c:tx>
            <c:strRef>
              <c:f>'4-1. UPC &amp; NCE(Grid)'!$AQ$93</c:f>
              <c:strCache>
                <c:ptCount val="1"/>
                <c:pt idx="0">
                  <c:v>DHCO2</c:v>
                </c:pt>
              </c:strCache>
            </c:strRef>
          </c:tx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NCE(Grid)'!$AQ$107:$AQ$114</c:f>
              <c:numCache>
                <c:formatCode>0.00</c:formatCode>
                <c:ptCount val="8"/>
                <c:pt idx="0">
                  <c:v>3.779283016490445</c:v>
                </c:pt>
                <c:pt idx="1">
                  <c:v>3.779283016490445</c:v>
                </c:pt>
                <c:pt idx="2">
                  <c:v>3.779283016490445</c:v>
                </c:pt>
                <c:pt idx="3">
                  <c:v>3.779283016490445</c:v>
                </c:pt>
                <c:pt idx="4">
                  <c:v>3.779283016490445</c:v>
                </c:pt>
                <c:pt idx="5">
                  <c:v>3.779283016490445</c:v>
                </c:pt>
                <c:pt idx="6">
                  <c:v>3.779283016490445</c:v>
                </c:pt>
                <c:pt idx="7">
                  <c:v>3.779283016490445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D07-43F8-A749-99F23FB7FDF1}"/>
            </c:ext>
          </c:extLst>
        </c:ser>
        <c:ser>
          <c:idx val="10"/>
          <c:order val="10"/>
          <c:tx>
            <c:strRef>
              <c:f>'4-1. UPC &amp; NCE(Grid)'!$AR$93</c:f>
              <c:strCache>
                <c:ptCount val="1"/>
                <c:pt idx="0">
                  <c:v>NapCracking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6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NCE(Grid)'!$AR$107:$AR$114</c:f>
              <c:numCache>
                <c:formatCode>0.00</c:formatCode>
                <c:ptCount val="8"/>
                <c:pt idx="0">
                  <c:v>0.92114647541509476</c:v>
                </c:pt>
                <c:pt idx="1">
                  <c:v>0.92114647541509476</c:v>
                </c:pt>
                <c:pt idx="2">
                  <c:v>0.92114647541509476</c:v>
                </c:pt>
                <c:pt idx="3">
                  <c:v>0.92114647541509476</c:v>
                </c:pt>
                <c:pt idx="4">
                  <c:v>0.92114647541509476</c:v>
                </c:pt>
                <c:pt idx="5">
                  <c:v>0.92114647541509476</c:v>
                </c:pt>
                <c:pt idx="6">
                  <c:v>0.92114647541509476</c:v>
                </c:pt>
                <c:pt idx="7">
                  <c:v>0.92114647541509476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D07-43F8-A749-99F23FB7F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9286543"/>
        <c:axId val="1989289871"/>
      </c:lineChart>
      <c:catAx>
        <c:axId val="1989286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dirty="0"/>
                  <a:t>Hydrogen product price</a:t>
                </a:r>
                <a:r>
                  <a:rPr lang="en-US" sz="1200" b="1" baseline="0" dirty="0"/>
                  <a:t> ($/MMBTU)</a:t>
                </a:r>
                <a:endParaRPr lang="en-US" sz="1200" b="1" dirty="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1989289871"/>
        <c:crosses val="autoZero"/>
        <c:auto val="1"/>
        <c:lblAlgn val="ctr"/>
        <c:lblOffset val="100"/>
        <c:noMultiLvlLbl val="0"/>
      </c:catAx>
      <c:valAx>
        <c:axId val="1989289871"/>
        <c:scaling>
          <c:orientation val="minMax"/>
          <c:max val="2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baseline="0" dirty="0">
                    <a:effectLst/>
                  </a:rPr>
                  <a:t>Unit production cost of olefin ($/kg)</a:t>
                </a:r>
                <a:endParaRPr lang="en-US" sz="1200" dirty="0"/>
              </a:p>
            </c:rich>
          </c:tx>
          <c:layout>
            <c:manualLayout>
              <c:xMode val="edge"/>
              <c:yMode val="edge"/>
              <c:x val="3.0254629629629625E-4"/>
              <c:y val="5.7002338349570386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1989286543"/>
        <c:crossesAt val="1"/>
        <c:crossBetween val="between"/>
        <c:majorUnit val="0.25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egendEntry>
        <c:idx val="9"/>
        <c:delete val="1"/>
      </c:legendEntry>
      <c:layout>
        <c:manualLayout>
          <c:xMode val="edge"/>
          <c:yMode val="edge"/>
          <c:x val="8.1363124435610876E-2"/>
          <c:y val="0.82600471137535292"/>
          <c:w val="0.89704460210073955"/>
          <c:h val="0.173995288624647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 algn="ctr">
        <a:defRPr lang="en-US" sz="11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612289394434798"/>
          <c:y val="3.7933000724190778E-2"/>
          <c:w val="0.57395459488158629"/>
          <c:h val="0.6797111898302121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'4-1. UPC &amp; NCE(Grid)'!$D$150</c:f>
              <c:strCache>
                <c:ptCount val="1"/>
                <c:pt idx="0">
                  <c:v>Feedstock inventory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'4-1. UPC &amp; NCE(Grid)'!$F$149:$J$149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NCE(Grid)'!$F$150:$J$150</c:f>
              <c:numCache>
                <c:formatCode>_(* #,##0.00_);_(* \(#,##0.00\);_(* "-"??_);_(@_)</c:formatCode>
                <c:ptCount val="5"/>
                <c:pt idx="0">
                  <c:v>0.4613232108852906</c:v>
                </c:pt>
                <c:pt idx="1">
                  <c:v>0.47796639019814352</c:v>
                </c:pt>
                <c:pt idx="2">
                  <c:v>0.48004149799767554</c:v>
                </c:pt>
                <c:pt idx="3">
                  <c:v>0.4989245554316234</c:v>
                </c:pt>
                <c:pt idx="4">
                  <c:v>0.4613232108852906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A5-422D-ADC6-CE67A7F50F03}"/>
            </c:ext>
          </c:extLst>
        </c:ser>
        <c:ser>
          <c:idx val="2"/>
          <c:order val="1"/>
          <c:tx>
            <c:strRef>
              <c:f>'4-1. UPC &amp; NCE(Grid)'!$D$151</c:f>
              <c:strCache>
                <c:ptCount val="1"/>
                <c:pt idx="0">
                  <c:v>Direct emission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'4-1. UPC &amp; NCE(Grid)'!$F$149:$J$149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NCE(Grid)'!$F$151:$J$151</c:f>
              <c:numCache>
                <c:formatCode>_(* #,##0.00_);_(* \(#,##0.00\);_(* "-"??_);_(@_)</c:formatCode>
                <c:ptCount val="5"/>
                <c:pt idx="0">
                  <c:v>2.9978772224111885</c:v>
                </c:pt>
                <c:pt idx="1">
                  <c:v>2.5386485177479297</c:v>
                </c:pt>
                <c:pt idx="2">
                  <c:v>2.1625822739606644</c:v>
                </c:pt>
                <c:pt idx="3">
                  <c:v>2.110369207245923</c:v>
                </c:pt>
                <c:pt idx="4">
                  <c:v>0.39952981210696231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FA5-422D-ADC6-CE67A7F50F03}"/>
            </c:ext>
          </c:extLst>
        </c:ser>
        <c:ser>
          <c:idx val="0"/>
          <c:order val="2"/>
          <c:tx>
            <c:strRef>
              <c:f>'4-1. UPC &amp; NCE(Grid)'!$D$152</c:f>
              <c:strCache>
                <c:ptCount val="1"/>
                <c:pt idx="0">
                  <c:v>Indirect emission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'4-1. UPC &amp; NCE(Grid)'!$F$149:$J$149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NCE(Grid)'!$F$152:$J$152</c:f>
              <c:numCache>
                <c:formatCode>_(* #,##0.00_);_(* \(#,##0.00\);_(* "-"??_);_(@_)</c:formatCode>
                <c:ptCount val="5"/>
                <c:pt idx="0">
                  <c:v>4.310260929878841</c:v>
                </c:pt>
                <c:pt idx="1">
                  <c:v>3.2387694564490941</c:v>
                </c:pt>
                <c:pt idx="2">
                  <c:v>2.7866522884380549</c:v>
                </c:pt>
                <c:pt idx="3">
                  <c:v>2.532412807318654</c:v>
                </c:pt>
                <c:pt idx="4">
                  <c:v>5.0397514416268248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A5-422D-ADC6-CE67A7F50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548495808"/>
        <c:axId val="548484992"/>
      </c:barChart>
      <c:scatterChart>
        <c:scatterStyle val="lineMarker"/>
        <c:varyColors val="0"/>
        <c:ser>
          <c:idx val="3"/>
          <c:order val="3"/>
          <c:tx>
            <c:strRef>
              <c:f>'4-1. UPC &amp; NCE(Grid)'!$D$154</c:f>
              <c:strCache>
                <c:ptCount val="1"/>
                <c:pt idx="0">
                  <c:v>Net CO2eq emission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strRef>
              <c:f>'4-1. UPC &amp; NCE(Grid)'!$F$149:$J$149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xVal>
          <c:yVal>
            <c:numRef>
              <c:f>'4-1. UPC &amp; NCE(Grid)'!$F$154:$J$154</c:f>
              <c:numCache>
                <c:formatCode>_(* #,##0.00_);_(* \(#,##0.00\);_(* "-"??_);_(@_)</c:formatCode>
                <c:ptCount val="5"/>
                <c:pt idx="0">
                  <c:v>7.7694613631753207</c:v>
                </c:pt>
                <c:pt idx="1">
                  <c:v>6.2553843643951677</c:v>
                </c:pt>
                <c:pt idx="2">
                  <c:v>5.4292760603963952</c:v>
                </c:pt>
                <c:pt idx="3">
                  <c:v>5.1417065699962006</c:v>
                </c:pt>
                <c:pt idx="4">
                  <c:v>5.9006044646190778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FA5-422D-ADC6-CE67A7F50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495808"/>
        <c:axId val="548484992"/>
      </c:scatterChart>
      <c:catAx>
        <c:axId val="54849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84992"/>
        <c:crosses val="autoZero"/>
        <c:auto val="1"/>
        <c:lblAlgn val="ctr"/>
        <c:lblOffset val="0"/>
        <c:noMultiLvlLbl val="0"/>
      </c:catAx>
      <c:valAx>
        <c:axId val="548484992"/>
        <c:scaling>
          <c:orientation val="minMax"/>
          <c:max val="18"/>
          <c:min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dirty="0"/>
                  <a:t>Net CO</a:t>
                </a:r>
                <a:r>
                  <a:rPr lang="en-US" sz="1000" b="1" dirty="0"/>
                  <a:t>2eq</a:t>
                </a:r>
                <a:r>
                  <a:rPr lang="en-US" b="1" dirty="0"/>
                  <a:t> emission (kgCO</a:t>
                </a:r>
                <a:r>
                  <a:rPr lang="en-US" sz="1000" b="1" baseline="0" dirty="0"/>
                  <a:t>2eq</a:t>
                </a:r>
                <a:r>
                  <a:rPr lang="en-US" b="1" dirty="0"/>
                  <a:t>/</a:t>
                </a:r>
                <a:r>
                  <a:rPr lang="en-US" b="1" dirty="0" err="1"/>
                  <a:t>kgolefin</a:t>
                </a:r>
                <a:r>
                  <a:rPr lang="en-US" b="1" dirty="0"/>
                  <a:t>)</a:t>
                </a:r>
              </a:p>
            </c:rich>
          </c:tx>
          <c:layout>
            <c:manualLayout>
              <c:xMode val="edge"/>
              <c:yMode val="edge"/>
              <c:x val="1.9529036021940676E-3"/>
              <c:y val="1.177615208662784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95808"/>
        <c:crosses val="autoZero"/>
        <c:crossBetween val="between"/>
        <c:majorUnit val="2"/>
        <c:minorUnit val="0.2"/>
      </c:valAx>
      <c:spPr>
        <a:noFill/>
        <a:ln>
          <a:noFill/>
        </a:ln>
        <a:effectLst/>
      </c:spPr>
    </c:plotArea>
    <c:legend>
      <c:legendPos val="t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68658349904570892"/>
          <c:y val="2.1533088048288372E-2"/>
          <c:w val="0.29787204094272052"/>
          <c:h val="0.2634652446916134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246988595157043"/>
          <c:y val="3.7932946620058881E-2"/>
          <c:w val="0.84479398148148144"/>
          <c:h val="0.68151882151641541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'4-1. UPC &amp; NCE(Grid)'!$D$110</c:f>
              <c:strCache>
                <c:ptCount val="1"/>
                <c:pt idx="0">
                  <c:v>Annualized capital cost</c:v>
                </c:pt>
              </c:strCache>
            </c:strRef>
          </c:tx>
          <c:spPr>
            <a:solidFill>
              <a:srgbClr val="A5B592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'4-1. UPC &amp; NCE(Grid)'!$F$109:$J$109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NCE(Grid)'!$F$110:$J$110</c:f>
              <c:numCache>
                <c:formatCode>#,##0.00</c:formatCode>
                <c:ptCount val="5"/>
                <c:pt idx="0">
                  <c:v>0.19368639922631645</c:v>
                </c:pt>
                <c:pt idx="1">
                  <c:v>0.1435379387480753</c:v>
                </c:pt>
                <c:pt idx="2">
                  <c:v>0.11411020720838039</c:v>
                </c:pt>
                <c:pt idx="3">
                  <c:v>8.9485436119457987E-2</c:v>
                </c:pt>
                <c:pt idx="4">
                  <c:v>0.19962941899940617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DC-4D84-9716-E44683BCEB44}"/>
            </c:ext>
          </c:extLst>
        </c:ser>
        <c:ser>
          <c:idx val="1"/>
          <c:order val="1"/>
          <c:tx>
            <c:strRef>
              <c:f>'4-1. UPC &amp; NCE(Grid)'!$D$111</c:f>
              <c:strCache>
                <c:ptCount val="1"/>
                <c:pt idx="0">
                  <c:v>Raw material</c:v>
                </c:pt>
              </c:strCache>
            </c:strRef>
          </c:tx>
          <c:spPr>
            <a:solidFill>
              <a:srgbClr val="A5B59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'4-1. UPC &amp; NCE(Grid)'!$F$109:$J$109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NCE(Grid)'!$F$111:$J$111</c:f>
              <c:numCache>
                <c:formatCode>#,##0.00</c:formatCode>
                <c:ptCount val="5"/>
                <c:pt idx="0">
                  <c:v>0.36199978024561419</c:v>
                </c:pt>
                <c:pt idx="1">
                  <c:v>0.28821501146319584</c:v>
                </c:pt>
                <c:pt idx="2">
                  <c:v>0.23172178756266085</c:v>
                </c:pt>
                <c:pt idx="3">
                  <c:v>0.18908515522854558</c:v>
                </c:pt>
                <c:pt idx="4">
                  <c:v>0.34324804812267551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DC-4D84-9716-E44683BCEB44}"/>
            </c:ext>
          </c:extLst>
        </c:ser>
        <c:ser>
          <c:idx val="2"/>
          <c:order val="2"/>
          <c:tx>
            <c:strRef>
              <c:f>'4-1. UPC &amp; NCE(Grid)'!$D$112</c:f>
              <c:strCache>
                <c:ptCount val="1"/>
                <c:pt idx="0">
                  <c:v>Utility</c:v>
                </c:pt>
              </c:strCache>
            </c:strRef>
          </c:tx>
          <c:spPr>
            <a:solidFill>
              <a:srgbClr val="A5B592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'4-1. UPC &amp; NCE(Grid)'!$F$109:$J$109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NCE(Grid)'!$F$112:$J$112</c:f>
              <c:numCache>
                <c:formatCode>#,##0.00</c:formatCode>
                <c:ptCount val="5"/>
                <c:pt idx="0">
                  <c:v>0.75115550440208656</c:v>
                </c:pt>
                <c:pt idx="1">
                  <c:v>0.49563540414024693</c:v>
                </c:pt>
                <c:pt idx="2">
                  <c:v>0.34297281974704319</c:v>
                </c:pt>
                <c:pt idx="3">
                  <c:v>0.25979782663023221</c:v>
                </c:pt>
                <c:pt idx="4">
                  <c:v>0.79561973531430108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DC-4D84-9716-E44683BCEB44}"/>
            </c:ext>
          </c:extLst>
        </c:ser>
        <c:ser>
          <c:idx val="0"/>
          <c:order val="3"/>
          <c:tx>
            <c:strRef>
              <c:f>'4-1. UPC &amp; NCE(Grid)'!$D$113</c:f>
              <c:strCache>
                <c:ptCount val="1"/>
                <c:pt idx="0">
                  <c:v>Fixed operating cost</c:v>
                </c:pt>
              </c:strCache>
            </c:strRef>
          </c:tx>
          <c:spPr>
            <a:solidFill>
              <a:srgbClr val="A5B592">
                <a:lumMod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'4-1. UPC &amp; NCE(Grid)'!$F$109:$J$109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NCE(Grid)'!$F$113:$J$113</c:f>
              <c:numCache>
                <c:formatCode>#,##0.00</c:formatCode>
                <c:ptCount val="5"/>
                <c:pt idx="0">
                  <c:v>5.4120032288291674E-2</c:v>
                </c:pt>
                <c:pt idx="1">
                  <c:v>4.0107503214842063E-2</c:v>
                </c:pt>
                <c:pt idx="2">
                  <c:v>3.1884779329937107E-2</c:v>
                </c:pt>
                <c:pt idx="3">
                  <c:v>2.5004103083449282E-2</c:v>
                </c:pt>
                <c:pt idx="4">
                  <c:v>5.5780636353906787E-2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DC-4D84-9716-E44683BCEB44}"/>
            </c:ext>
          </c:extLst>
        </c:ser>
        <c:ser>
          <c:idx val="5"/>
          <c:order val="4"/>
          <c:tx>
            <c:strRef>
              <c:f>'4-1. UPC &amp; NCE(Grid)'!$D$114</c:f>
              <c:strCache>
                <c:ptCount val="1"/>
                <c:pt idx="0">
                  <c:v>Credit_Hydrogen</c:v>
                </c:pt>
              </c:strCache>
            </c:strRef>
          </c:tx>
          <c:spPr>
            <a:solidFill>
              <a:srgbClr val="F3A4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'4-1. UPC &amp; NCE(Grid)'!$F$109:$J$109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NCE(Grid)'!$F$114:$J$114</c:f>
              <c:numCache>
                <c:formatCode>#,##0.00</c:formatCode>
                <c:ptCount val="5"/>
                <c:pt idx="0">
                  <c:v>-0.54338673227228906</c:v>
                </c:pt>
                <c:pt idx="1">
                  <c:v>-0.6219591375194069</c:v>
                </c:pt>
                <c:pt idx="2">
                  <c:v>-0.68005809231960601</c:v>
                </c:pt>
                <c:pt idx="3">
                  <c:v>-0.7988051450451088</c:v>
                </c:pt>
                <c:pt idx="4">
                  <c:v>-0.54338673227228906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2DC-4D84-9716-E44683BCEB44}"/>
            </c:ext>
          </c:extLst>
        </c:ser>
        <c:ser>
          <c:idx val="6"/>
          <c:order val="5"/>
          <c:tx>
            <c:strRef>
              <c:f>'4-1. UPC &amp; NCE(Grid)'!$D$115</c:f>
              <c:strCache>
                <c:ptCount val="1"/>
                <c:pt idx="0">
                  <c:v>Credit_Raw Naphthalene</c:v>
                </c:pt>
              </c:strCache>
            </c:strRef>
          </c:tx>
          <c:spPr>
            <a:solidFill>
              <a:srgbClr val="E7BC29"/>
            </a:solidFill>
            <a:ln>
              <a:noFill/>
            </a:ln>
            <a:effectLst/>
          </c:spPr>
          <c:invertIfNegative val="0"/>
          <c:cat>
            <c:strRef>
              <c:f>'4-1. UPC &amp; NCE(Grid)'!$F$109:$J$109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NCE(Grid)'!$F$115:$J$115</c:f>
              <c:numCache>
                <c:formatCode>#,##0.00</c:formatCode>
                <c:ptCount val="5"/>
                <c:pt idx="0">
                  <c:v>-5.4760577003244585E-3</c:v>
                </c:pt>
                <c:pt idx="1">
                  <c:v>-9.9636975963702211E-3</c:v>
                </c:pt>
                <c:pt idx="2">
                  <c:v>-1.6548110850575552E-2</c:v>
                </c:pt>
                <c:pt idx="3">
                  <c:v>-2.6341421958585087E-2</c:v>
                </c:pt>
                <c:pt idx="4">
                  <c:v>-5.4760577003244585E-3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2DC-4D84-9716-E44683BCEB44}"/>
            </c:ext>
          </c:extLst>
        </c:ser>
        <c:ser>
          <c:idx val="4"/>
          <c:order val="6"/>
          <c:tx>
            <c:strRef>
              <c:f>'4-1. UPC &amp; NCE(Grid)'!$D$116</c:f>
              <c:strCache>
                <c:ptCount val="1"/>
                <c:pt idx="0">
                  <c:v>Credit_Benzene</c:v>
                </c:pt>
              </c:strCache>
            </c:strRef>
          </c:tx>
          <c:spPr>
            <a:solidFill>
              <a:srgbClr val="D092A7"/>
            </a:solidFill>
            <a:ln>
              <a:noFill/>
            </a:ln>
            <a:effectLst/>
          </c:spPr>
          <c:invertIfNegative val="0"/>
          <c:cat>
            <c:strRef>
              <c:f>'4-1. UPC &amp; NCE(Grid)'!$F$109:$J$109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NCE(Grid)'!$F$116:$J$116</c:f>
              <c:numCache>
                <c:formatCode>#,##0.00</c:formatCode>
                <c:ptCount val="5"/>
                <c:pt idx="0">
                  <c:v>-5.895869955695146E-2</c:v>
                </c:pt>
                <c:pt idx="1">
                  <c:v>-8.9310760465522915E-2</c:v>
                </c:pt>
                <c:pt idx="2">
                  <c:v>-0.12131539456297778</c:v>
                </c:pt>
                <c:pt idx="3">
                  <c:v>-0.17029359661998092</c:v>
                </c:pt>
                <c:pt idx="4">
                  <c:v>-5.895869955695146E-2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2DC-4D84-9716-E44683BCEB44}"/>
            </c:ext>
          </c:extLst>
        </c:ser>
        <c:ser>
          <c:idx val="7"/>
          <c:order val="7"/>
          <c:tx>
            <c:strRef>
              <c:f>'4-1. UPC &amp; NCE(Grid)'!$D$117</c:f>
              <c:strCache>
                <c:ptCount val="1"/>
                <c:pt idx="0">
                  <c:v>Credit_C2-C5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strRef>
              <c:f>'4-1. UPC &amp; NCE(Grid)'!$F$109:$J$109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NCE(Grid)'!$F$117:$J$117</c:f>
              <c:numCache>
                <c:formatCode>#,##0.00</c:formatCode>
                <c:ptCount val="5"/>
                <c:pt idx="0">
                  <c:v>-1.6840268938956869E-2</c:v>
                </c:pt>
                <c:pt idx="1">
                  <c:v>-1.4043735345025217E-2</c:v>
                </c:pt>
                <c:pt idx="2">
                  <c:v>-1.4618084511545434E-2</c:v>
                </c:pt>
                <c:pt idx="3">
                  <c:v>-1.1382206538552033E-2</c:v>
                </c:pt>
                <c:pt idx="4">
                  <c:v>-1.6840268938956869E-2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2DC-4D84-9716-E44683BCE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548495808"/>
        <c:axId val="548484992"/>
        <c:extLst>
          <c:ext xmlns:c15="http://schemas.microsoft.com/office/drawing/2012/chart" uri="{02D57815-91ED-43cb-92C2-25804820EDAC}">
            <c15:filteredBar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'4-1. UPC &amp; NCE(Grid)'!$D$118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'4-1. UPC &amp; NCE(Grid)'!$F$109:$J$109</c15:sqref>
                        </c15:formulaRef>
                      </c:ext>
                    </c:extLst>
                    <c:strCache>
                      <c:ptCount val="5"/>
                      <c:pt idx="0">
                        <c:v>Case 1 (BASE)</c:v>
                      </c:pt>
                      <c:pt idx="1">
                        <c:v>Case 2 (BASE)</c:v>
                      </c:pt>
                      <c:pt idx="2">
                        <c:v>Case 3 (BASE)</c:v>
                      </c:pt>
                      <c:pt idx="3">
                        <c:v>Case 4 (BASE)</c:v>
                      </c:pt>
                      <c:pt idx="4">
                        <c:v>Case 1 (Base w CCS)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'4-1. UPC &amp; NCE(Grid)'!$F$118:$J$118</c15:sqref>
                        </c15:formulaRef>
                      </c:ext>
                    </c:extLst>
                    <c:numCache>
                      <c:formatCode>#,##0.00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12DC-4D84-9716-E44683BCEB44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NCE(Grid)'!$D$119</c15:sqref>
                        </c15:formulaRef>
                      </c:ext>
                    </c:extLst>
                    <c:strCache>
                      <c:ptCount val="1"/>
                      <c:pt idx="0">
                        <c:v>Credit_CO2</c:v>
                      </c:pt>
                    </c:strCache>
                  </c:strRef>
                </c:tx>
                <c:spPr>
                  <a:solidFill>
                    <a:srgbClr val="9966FF"/>
                  </a:solidFill>
                  <a:ln w="25400"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NCE(Grid)'!$F$109:$J$109</c15:sqref>
                        </c15:formulaRef>
                      </c:ext>
                    </c:extLst>
                    <c:strCache>
                      <c:ptCount val="5"/>
                      <c:pt idx="0">
                        <c:v>Case 1 (BASE)</c:v>
                      </c:pt>
                      <c:pt idx="1">
                        <c:v>Case 2 (BASE)</c:v>
                      </c:pt>
                      <c:pt idx="2">
                        <c:v>Case 3 (BASE)</c:v>
                      </c:pt>
                      <c:pt idx="3">
                        <c:v>Case 4 (BASE)</c:v>
                      </c:pt>
                      <c:pt idx="4">
                        <c:v>Case 1 (Base w CCS)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NCE(Grid)'!$F$119:$J$119</c15:sqref>
                        </c15:formulaRef>
                      </c:ext>
                    </c:extLst>
                    <c:numCache>
                      <c:formatCode>#,##0.00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-0.12805075292903281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12DC-4D84-9716-E44683BCEB44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NCE(Grid)'!$D$120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4472C4"/>
                  </a:solidFill>
                  <a:ln w="25400"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NCE(Grid)'!$F$109:$J$109</c15:sqref>
                        </c15:formulaRef>
                      </c:ext>
                    </c:extLst>
                    <c:strCache>
                      <c:ptCount val="5"/>
                      <c:pt idx="0">
                        <c:v>Case 1 (BASE)</c:v>
                      </c:pt>
                      <c:pt idx="1">
                        <c:v>Case 2 (BASE)</c:v>
                      </c:pt>
                      <c:pt idx="2">
                        <c:v>Case 3 (BASE)</c:v>
                      </c:pt>
                      <c:pt idx="3">
                        <c:v>Case 4 (BASE)</c:v>
                      </c:pt>
                      <c:pt idx="4">
                        <c:v>Case 1 (Base w CCS)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NCE(Grid)'!$F$120:$J$120</c15:sqref>
                        </c15:formulaRef>
                      </c:ext>
                    </c:extLst>
                    <c:numCache>
                      <c:formatCode>#,##0.00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12DC-4D84-9716-E44683BCEB44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NCE(Grid)'!$D$121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6600CC"/>
                  </a:solidFill>
                  <a:ln w="25400"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NCE(Grid)'!$F$109:$J$109</c15:sqref>
                        </c15:formulaRef>
                      </c:ext>
                    </c:extLst>
                    <c:strCache>
                      <c:ptCount val="5"/>
                      <c:pt idx="0">
                        <c:v>Case 1 (BASE)</c:v>
                      </c:pt>
                      <c:pt idx="1">
                        <c:v>Case 2 (BASE)</c:v>
                      </c:pt>
                      <c:pt idx="2">
                        <c:v>Case 3 (BASE)</c:v>
                      </c:pt>
                      <c:pt idx="3">
                        <c:v>Case 4 (BASE)</c:v>
                      </c:pt>
                      <c:pt idx="4">
                        <c:v>Case 1 (Base w CCS)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NCE(Grid)'!$F$121:$J$121</c15:sqref>
                        </c15:formulaRef>
                      </c:ext>
                    </c:extLst>
                    <c:numCache>
                      <c:formatCode>#,##0.00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12DC-4D84-9716-E44683BCEB44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NCE(Grid)'!$D$122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996633"/>
                  </a:solidFill>
                  <a:ln w="25400"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NCE(Grid)'!$F$109:$J$109</c15:sqref>
                        </c15:formulaRef>
                      </c:ext>
                    </c:extLst>
                    <c:strCache>
                      <c:ptCount val="5"/>
                      <c:pt idx="0">
                        <c:v>Case 1 (BASE)</c:v>
                      </c:pt>
                      <c:pt idx="1">
                        <c:v>Case 2 (BASE)</c:v>
                      </c:pt>
                      <c:pt idx="2">
                        <c:v>Case 3 (BASE)</c:v>
                      </c:pt>
                      <c:pt idx="3">
                        <c:v>Case 4 (BASE)</c:v>
                      </c:pt>
                      <c:pt idx="4">
                        <c:v>Case 1 (Base w CCS)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NCE(Grid)'!$F$122:$J$122</c15:sqref>
                        </c15:formulaRef>
                      </c:ext>
                    </c:extLst>
                    <c:numCache>
                      <c:formatCode>#,##0.00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12DC-4D84-9716-E44683BCEB44}"/>
                  </c:ext>
                </c:extLst>
              </c15:ser>
            </c15:filteredBarSeries>
          </c:ext>
        </c:extLst>
      </c:barChart>
      <c:scatterChart>
        <c:scatterStyle val="lineMarker"/>
        <c:varyColors val="0"/>
        <c:ser>
          <c:idx val="13"/>
          <c:order val="13"/>
          <c:tx>
            <c:strRef>
              <c:f>'4-1. UPC &amp; NCE(Grid)'!$D$123</c:f>
              <c:strCache>
                <c:ptCount val="1"/>
                <c:pt idx="0">
                  <c:v>UPC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'4-1. UPC &amp; NCE(Grid)'!$F$109:$J$109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xVal>
          <c:yVal>
            <c:numRef>
              <c:f>'4-1. UPC &amp; NCE(Grid)'!$F$123:$J$123</c:f>
              <c:numCache>
                <c:formatCode>_(* #,##0.00_);_(* \(#,##0.00\);_(* "-"??_);_(@_)</c:formatCode>
                <c:ptCount val="5"/>
                <c:pt idx="0">
                  <c:v>1.3609617161623091</c:v>
                </c:pt>
                <c:pt idx="1">
                  <c:v>0.96749585756636014</c:v>
                </c:pt>
                <c:pt idx="2">
                  <c:v>0.72068959384802156</c:v>
                </c:pt>
                <c:pt idx="3">
                  <c:v>0.56337252106168501</c:v>
                </c:pt>
                <c:pt idx="4">
                  <c:v>1.3942778387902897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12DC-4D84-9716-E44683BCE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495808"/>
        <c:axId val="548484992"/>
      </c:scatterChart>
      <c:catAx>
        <c:axId val="54849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84992"/>
        <c:crosses val="autoZero"/>
        <c:auto val="1"/>
        <c:lblAlgn val="ctr"/>
        <c:lblOffset val="100"/>
        <c:noMultiLvlLbl val="0"/>
      </c:catAx>
      <c:valAx>
        <c:axId val="548484992"/>
        <c:scaling>
          <c:orientation val="minMax"/>
          <c:max val="4"/>
          <c:min val="-2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dirty="0"/>
                  <a:t>Unit production cost of olefin ($/kg)</a:t>
                </a:r>
              </a:p>
            </c:rich>
          </c:tx>
          <c:layout>
            <c:manualLayout>
              <c:xMode val="edge"/>
              <c:yMode val="edge"/>
              <c:x val="1.3055719476532822E-2"/>
              <c:y val="4.2388305210654779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95808"/>
        <c:crosses val="autoZero"/>
        <c:crossBetween val="between"/>
        <c:maj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egendEntry>
        <c:idx val="8"/>
        <c:delete val="1"/>
      </c:legendEntry>
      <c:layout>
        <c:manualLayout>
          <c:xMode val="edge"/>
          <c:yMode val="edge"/>
          <c:x val="0.16162900012322448"/>
          <c:y val="4.4139664207036682E-2"/>
          <c:w val="0.81001624998088839"/>
          <c:h val="0.147268273063000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246988595157043"/>
          <c:y val="3.7932946620058881E-2"/>
          <c:w val="0.84479398148148144"/>
          <c:h val="0.68151882151641541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'4-1. UPC &amp; NCE(Grid)'!$D$110</c:f>
              <c:strCache>
                <c:ptCount val="1"/>
                <c:pt idx="0">
                  <c:v>Annualized capital cost</c:v>
                </c:pt>
              </c:strCache>
            </c:strRef>
          </c:tx>
          <c:spPr>
            <a:solidFill>
              <a:srgbClr val="A5B592">
                <a:lumMod val="75000"/>
              </a:srgbClr>
            </a:solidFill>
            <a:ln>
              <a:noFill/>
            </a:ln>
            <a:effectLst/>
          </c:spPr>
          <c:invertIfNegative val="0"/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NCE(Grid)'!$F$110:$S$110</c:f>
              <c:numCache>
                <c:formatCode>#,##0.00</c:formatCode>
                <c:ptCount val="8"/>
                <c:pt idx="0">
                  <c:v>0.19368639922631645</c:v>
                </c:pt>
                <c:pt idx="1">
                  <c:v>0.1435379387480753</c:v>
                </c:pt>
                <c:pt idx="2">
                  <c:v>0.11411020720838039</c:v>
                </c:pt>
                <c:pt idx="3">
                  <c:v>8.9485436119457987E-2</c:v>
                </c:pt>
                <c:pt idx="4">
                  <c:v>0.19962941899940617</c:v>
                </c:pt>
                <c:pt idx="5">
                  <c:v>0.15052583616451159</c:v>
                </c:pt>
                <c:pt idx="6">
                  <c:v>0.12009574030509464</c:v>
                </c:pt>
                <c:pt idx="7">
                  <c:v>9.578240487596841E-2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2A-4753-BE92-710CD85E3CAA}"/>
            </c:ext>
          </c:extLst>
        </c:ser>
        <c:ser>
          <c:idx val="1"/>
          <c:order val="1"/>
          <c:tx>
            <c:strRef>
              <c:f>'4-1. UPC &amp; NCE(Grid)'!$D$111</c:f>
              <c:strCache>
                <c:ptCount val="1"/>
                <c:pt idx="0">
                  <c:v>Raw material</c:v>
                </c:pt>
              </c:strCache>
            </c:strRef>
          </c:tx>
          <c:spPr>
            <a:solidFill>
              <a:srgbClr val="A5B59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NCE(Grid)'!$F$111:$S$111</c:f>
              <c:numCache>
                <c:formatCode>#,##0.00</c:formatCode>
                <c:ptCount val="8"/>
                <c:pt idx="0">
                  <c:v>0.36199978024561419</c:v>
                </c:pt>
                <c:pt idx="1">
                  <c:v>0.28821501146319584</c:v>
                </c:pt>
                <c:pt idx="2">
                  <c:v>0.23172178756266085</c:v>
                </c:pt>
                <c:pt idx="3">
                  <c:v>0.18908515522854558</c:v>
                </c:pt>
                <c:pt idx="4">
                  <c:v>0.34324804812267551</c:v>
                </c:pt>
                <c:pt idx="5">
                  <c:v>0.27409291479952419</c:v>
                </c:pt>
                <c:pt idx="6">
                  <c:v>0.22212752802587368</c:v>
                </c:pt>
                <c:pt idx="7">
                  <c:v>0.18287138448385495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2A-4753-BE92-710CD85E3CAA}"/>
            </c:ext>
          </c:extLst>
        </c:ser>
        <c:ser>
          <c:idx val="2"/>
          <c:order val="2"/>
          <c:tx>
            <c:strRef>
              <c:f>'4-1. UPC &amp; NCE(Grid)'!$D$112</c:f>
              <c:strCache>
                <c:ptCount val="1"/>
                <c:pt idx="0">
                  <c:v>Utility</c:v>
                </c:pt>
              </c:strCache>
            </c:strRef>
          </c:tx>
          <c:spPr>
            <a:solidFill>
              <a:srgbClr val="A5B592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NCE(Grid)'!$F$112:$S$112</c:f>
              <c:numCache>
                <c:formatCode>#,##0.00</c:formatCode>
                <c:ptCount val="8"/>
                <c:pt idx="0">
                  <c:v>0.75115550440208656</c:v>
                </c:pt>
                <c:pt idx="1">
                  <c:v>0.49563540414024693</c:v>
                </c:pt>
                <c:pt idx="2">
                  <c:v>0.34297281974704319</c:v>
                </c:pt>
                <c:pt idx="3">
                  <c:v>0.25979782663023221</c:v>
                </c:pt>
                <c:pt idx="4">
                  <c:v>0.79561973531430108</c:v>
                </c:pt>
                <c:pt idx="5">
                  <c:v>0.53660915992079328</c:v>
                </c:pt>
                <c:pt idx="6">
                  <c:v>0.37627806557753718</c:v>
                </c:pt>
                <c:pt idx="7">
                  <c:v>0.28787774869139754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2A-4753-BE92-710CD85E3CAA}"/>
            </c:ext>
          </c:extLst>
        </c:ser>
        <c:ser>
          <c:idx val="0"/>
          <c:order val="3"/>
          <c:tx>
            <c:strRef>
              <c:f>'4-1. UPC &amp; NCE(Grid)'!$D$113</c:f>
              <c:strCache>
                <c:ptCount val="1"/>
                <c:pt idx="0">
                  <c:v>Fixed operating cost</c:v>
                </c:pt>
              </c:strCache>
            </c:strRef>
          </c:tx>
          <c:spPr>
            <a:solidFill>
              <a:srgbClr val="A5B592">
                <a:lumMod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NCE(Grid)'!$F$113:$S$113</c:f>
              <c:numCache>
                <c:formatCode>#,##0.00</c:formatCode>
                <c:ptCount val="8"/>
                <c:pt idx="0">
                  <c:v>5.4120032288291674E-2</c:v>
                </c:pt>
                <c:pt idx="1">
                  <c:v>4.0107503214842063E-2</c:v>
                </c:pt>
                <c:pt idx="2">
                  <c:v>3.1884779329937107E-2</c:v>
                </c:pt>
                <c:pt idx="3">
                  <c:v>2.5004103083449282E-2</c:v>
                </c:pt>
                <c:pt idx="4">
                  <c:v>5.5780636353906787E-2</c:v>
                </c:pt>
                <c:pt idx="5">
                  <c:v>4.2060067955141174E-2</c:v>
                </c:pt>
                <c:pt idx="6">
                  <c:v>3.3557262507644917E-2</c:v>
                </c:pt>
                <c:pt idx="7">
                  <c:v>2.6763607900421506E-2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2A-4753-BE92-710CD85E3CAA}"/>
            </c:ext>
          </c:extLst>
        </c:ser>
        <c:ser>
          <c:idx val="5"/>
          <c:order val="4"/>
          <c:tx>
            <c:strRef>
              <c:f>'4-1. UPC &amp; NCE(Grid)'!$D$114</c:f>
              <c:strCache>
                <c:ptCount val="1"/>
                <c:pt idx="0">
                  <c:v>Credit_Hydrogen</c:v>
                </c:pt>
              </c:strCache>
            </c:strRef>
          </c:tx>
          <c:spPr>
            <a:solidFill>
              <a:srgbClr val="F3A4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NCE(Grid)'!$F$114:$S$114</c:f>
              <c:numCache>
                <c:formatCode>#,##0.00</c:formatCode>
                <c:ptCount val="8"/>
                <c:pt idx="0">
                  <c:v>-0.54338673227228906</c:v>
                </c:pt>
                <c:pt idx="1">
                  <c:v>-0.6219591375194069</c:v>
                </c:pt>
                <c:pt idx="2">
                  <c:v>-0.68005809231960601</c:v>
                </c:pt>
                <c:pt idx="3">
                  <c:v>-0.7988051450451088</c:v>
                </c:pt>
                <c:pt idx="4">
                  <c:v>-0.54338673227228906</c:v>
                </c:pt>
                <c:pt idx="5">
                  <c:v>-0.6219591375194069</c:v>
                </c:pt>
                <c:pt idx="6">
                  <c:v>-0.68005809231960601</c:v>
                </c:pt>
                <c:pt idx="7">
                  <c:v>-0.7988051450451088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E2A-4753-BE92-710CD85E3CAA}"/>
            </c:ext>
          </c:extLst>
        </c:ser>
        <c:ser>
          <c:idx val="6"/>
          <c:order val="5"/>
          <c:tx>
            <c:strRef>
              <c:f>'4-1. UPC &amp; NCE(Grid)'!$D$115</c:f>
              <c:strCache>
                <c:ptCount val="1"/>
                <c:pt idx="0">
                  <c:v>Credit_Raw Naphthalene</c:v>
                </c:pt>
              </c:strCache>
            </c:strRef>
          </c:tx>
          <c:spPr>
            <a:solidFill>
              <a:srgbClr val="E7BC29"/>
            </a:solidFill>
            <a:ln>
              <a:noFill/>
            </a:ln>
            <a:effectLst/>
          </c:spPr>
          <c:invertIfNegative val="0"/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NCE(Grid)'!$F$115:$S$115</c:f>
              <c:numCache>
                <c:formatCode>#,##0.00</c:formatCode>
                <c:ptCount val="8"/>
                <c:pt idx="0">
                  <c:v>-5.4760577003244585E-3</c:v>
                </c:pt>
                <c:pt idx="1">
                  <c:v>-9.9636975963702211E-3</c:v>
                </c:pt>
                <c:pt idx="2">
                  <c:v>-1.6548110850575552E-2</c:v>
                </c:pt>
                <c:pt idx="3">
                  <c:v>-2.6341421958585087E-2</c:v>
                </c:pt>
                <c:pt idx="4">
                  <c:v>-5.4760577003244585E-3</c:v>
                </c:pt>
                <c:pt idx="5">
                  <c:v>-9.9636975963702211E-3</c:v>
                </c:pt>
                <c:pt idx="6">
                  <c:v>-1.6548110850575552E-2</c:v>
                </c:pt>
                <c:pt idx="7">
                  <c:v>-2.6341421958585087E-2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E2A-4753-BE92-710CD85E3CAA}"/>
            </c:ext>
          </c:extLst>
        </c:ser>
        <c:ser>
          <c:idx val="4"/>
          <c:order val="6"/>
          <c:tx>
            <c:strRef>
              <c:f>'4-1. UPC &amp; NCE(Grid)'!$D$116</c:f>
              <c:strCache>
                <c:ptCount val="1"/>
                <c:pt idx="0">
                  <c:v>Credit_Benzene</c:v>
                </c:pt>
              </c:strCache>
            </c:strRef>
          </c:tx>
          <c:spPr>
            <a:solidFill>
              <a:srgbClr val="D092A7"/>
            </a:solidFill>
            <a:ln>
              <a:noFill/>
            </a:ln>
            <a:effectLst/>
          </c:spPr>
          <c:invertIfNegative val="0"/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NCE(Grid)'!$F$116:$S$116</c:f>
              <c:numCache>
                <c:formatCode>#,##0.00</c:formatCode>
                <c:ptCount val="8"/>
                <c:pt idx="0">
                  <c:v>-5.895869955695146E-2</c:v>
                </c:pt>
                <c:pt idx="1">
                  <c:v>-8.9310760465522915E-2</c:v>
                </c:pt>
                <c:pt idx="2">
                  <c:v>-0.12131539456297778</c:v>
                </c:pt>
                <c:pt idx="3">
                  <c:v>-0.17029359661998092</c:v>
                </c:pt>
                <c:pt idx="4">
                  <c:v>-5.895869955695146E-2</c:v>
                </c:pt>
                <c:pt idx="5">
                  <c:v>-8.9310760465522915E-2</c:v>
                </c:pt>
                <c:pt idx="6">
                  <c:v>-0.12131539456297778</c:v>
                </c:pt>
                <c:pt idx="7">
                  <c:v>-0.17029359661998092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E2A-4753-BE92-710CD85E3CAA}"/>
            </c:ext>
          </c:extLst>
        </c:ser>
        <c:ser>
          <c:idx val="7"/>
          <c:order val="7"/>
          <c:tx>
            <c:strRef>
              <c:f>'4-1. UPC &amp; NCE(Grid)'!$D$117</c:f>
              <c:strCache>
                <c:ptCount val="1"/>
                <c:pt idx="0">
                  <c:v>Credit_C2-C5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NCE(Grid)'!$F$117:$S$117</c:f>
              <c:numCache>
                <c:formatCode>#,##0.00</c:formatCode>
                <c:ptCount val="8"/>
                <c:pt idx="0">
                  <c:v>-1.6840268938956869E-2</c:v>
                </c:pt>
                <c:pt idx="1">
                  <c:v>-1.4043735345025217E-2</c:v>
                </c:pt>
                <c:pt idx="2">
                  <c:v>-1.4618084511545434E-2</c:v>
                </c:pt>
                <c:pt idx="3">
                  <c:v>-1.1382206538552033E-2</c:v>
                </c:pt>
                <c:pt idx="4">
                  <c:v>-1.6840268938956869E-2</c:v>
                </c:pt>
                <c:pt idx="5">
                  <c:v>-1.4043735345025217E-2</c:v>
                </c:pt>
                <c:pt idx="6">
                  <c:v>-1.4618084511545434E-2</c:v>
                </c:pt>
                <c:pt idx="7">
                  <c:v>-1.1382206538552033E-2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E2A-4753-BE92-710CD85E3CAA}"/>
            </c:ext>
          </c:extLst>
        </c:ser>
        <c:ser>
          <c:idx val="8"/>
          <c:order val="8"/>
          <c:tx>
            <c:strRef>
              <c:f>'4-1. UPC &amp; NCE(Grid)'!$D$118</c:f>
              <c:strCache>
                <c:ptCount val="1"/>
              </c:strCache>
            </c:strRef>
          </c:tx>
          <c:spPr>
            <a:solidFill>
              <a:srgbClr val="809EC2"/>
            </a:solidFill>
            <a:ln>
              <a:noFill/>
            </a:ln>
            <a:effectLst/>
          </c:spPr>
          <c:invertIfNegative val="0"/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NCE(Grid)'!$F$118:$S$118</c:f>
              <c:numCache>
                <c:formatCode>#,##0.00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D-EE2A-4753-BE92-710CD85E3CAA}"/>
            </c:ext>
          </c:extLst>
        </c:ser>
        <c:ser>
          <c:idx val="9"/>
          <c:order val="9"/>
          <c:tx>
            <c:strRef>
              <c:f>'4-1. UPC &amp; NCE(Grid)'!$D$119</c:f>
              <c:strCache>
                <c:ptCount val="1"/>
                <c:pt idx="0">
                  <c:v>Credit_CO2</c:v>
                </c:pt>
              </c:strCache>
            </c:strRef>
          </c:tx>
          <c:spPr>
            <a:solidFill>
              <a:srgbClr val="9966FF"/>
            </a:solidFill>
            <a:ln w="25400">
              <a:noFill/>
            </a:ln>
            <a:effectLst/>
          </c:spPr>
          <c:invertIfNegative val="0"/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NCE(Grid)'!$F$119:$S$119</c:f>
              <c:numCache>
                <c:formatCode>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-0.12805075292903281</c:v>
                </c:pt>
                <c:pt idx="5">
                  <c:v>-0.11988664428572704</c:v>
                </c:pt>
                <c:pt idx="6">
                  <c:v>-0.10902534562583889</c:v>
                </c:pt>
                <c:pt idx="7">
                  <c:v>-0.11244904122060595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E2A-4753-BE92-710CD85E3CAA}"/>
            </c:ext>
          </c:extLst>
        </c:ser>
        <c:ser>
          <c:idx val="10"/>
          <c:order val="10"/>
          <c:tx>
            <c:strRef>
              <c:f>'4-1. UPC &amp; NCE(Grid)'!$D$120</c:f>
              <c:strCache>
                <c:ptCount val="1"/>
              </c:strCache>
            </c:strRef>
          </c:tx>
          <c:spPr>
            <a:solidFill>
              <a:srgbClr val="4472C4"/>
            </a:solidFill>
            <a:ln w="25400">
              <a:noFill/>
            </a:ln>
            <a:effectLst/>
          </c:spPr>
          <c:invertIfNegative val="0"/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NCE(Grid)'!$F$120:$S$120</c:f>
              <c:numCache>
                <c:formatCode>#,##0.00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0-EE2A-4753-BE92-710CD85E3CAA}"/>
            </c:ext>
          </c:extLst>
        </c:ser>
        <c:ser>
          <c:idx val="11"/>
          <c:order val="11"/>
          <c:tx>
            <c:strRef>
              <c:f>'4-1. UPC &amp; NCE(Grid)'!$D$121</c:f>
              <c:strCache>
                <c:ptCount val="1"/>
              </c:strCache>
            </c:strRef>
          </c:tx>
          <c:spPr>
            <a:solidFill>
              <a:srgbClr val="6600CC"/>
            </a:solidFill>
            <a:ln w="25400">
              <a:noFill/>
            </a:ln>
            <a:effectLst/>
          </c:spPr>
          <c:invertIfNegative val="0"/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NCE(Grid)'!$F$121:$S$121</c:f>
              <c:numCache>
                <c:formatCode>#,##0.00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2-EE2A-4753-BE92-710CD85E3CAA}"/>
            </c:ext>
          </c:extLst>
        </c:ser>
        <c:ser>
          <c:idx val="12"/>
          <c:order val="12"/>
          <c:tx>
            <c:strRef>
              <c:f>'4-1. UPC &amp; NCE(Grid)'!$D$122</c:f>
              <c:strCache>
                <c:ptCount val="1"/>
              </c:strCache>
            </c:strRef>
          </c:tx>
          <c:spPr>
            <a:solidFill>
              <a:srgbClr val="996633"/>
            </a:solidFill>
            <a:ln w="25400">
              <a:noFill/>
            </a:ln>
            <a:effectLst/>
          </c:spPr>
          <c:invertIfNegative val="0"/>
          <c:cat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NCE(Grid)'!$F$122:$S$122</c:f>
              <c:numCache>
                <c:formatCode>#,##0.00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3-EE2A-4753-BE92-710CD85E3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548495808"/>
        <c:axId val="548484992"/>
      </c:barChart>
      <c:scatterChart>
        <c:scatterStyle val="lineMarker"/>
        <c:varyColors val="0"/>
        <c:ser>
          <c:idx val="13"/>
          <c:order val="13"/>
          <c:tx>
            <c:strRef>
              <c:f>'4-1. UPC &amp; NCE(Grid)'!$D$123</c:f>
              <c:strCache>
                <c:ptCount val="1"/>
                <c:pt idx="0">
                  <c:v>UPC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'4-1. UPC &amp; NCE(Grid)'!$F$109:$S$109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xVal>
          <c:yVal>
            <c:numRef>
              <c:f>'4-1. UPC &amp; NCE(Grid)'!$F$123:$S$123</c:f>
              <c:numCache>
                <c:formatCode>_(* #,##0.00_);_(* \(#,##0.00\);_(* "-"??_);_(@_)</c:formatCode>
                <c:ptCount val="8"/>
                <c:pt idx="0">
                  <c:v>1.3609617161623091</c:v>
                </c:pt>
                <c:pt idx="1">
                  <c:v>0.96749585756636014</c:v>
                </c:pt>
                <c:pt idx="2">
                  <c:v>0.72068959384802156</c:v>
                </c:pt>
                <c:pt idx="3">
                  <c:v>0.56337252106168501</c:v>
                </c:pt>
                <c:pt idx="4">
                  <c:v>1.3942778387902897</c:v>
                </c:pt>
                <c:pt idx="5">
                  <c:v>1.0032879788399702</c:v>
                </c:pt>
                <c:pt idx="6">
                  <c:v>0.75205859641615036</c:v>
                </c:pt>
                <c:pt idx="7">
                  <c:v>0.59329514595164234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E2A-4753-BE92-710CD85E3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495808"/>
        <c:axId val="548484992"/>
      </c:scatterChart>
      <c:catAx>
        <c:axId val="54849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84992"/>
        <c:crosses val="autoZero"/>
        <c:auto val="1"/>
        <c:lblAlgn val="ctr"/>
        <c:lblOffset val="100"/>
        <c:noMultiLvlLbl val="0"/>
      </c:catAx>
      <c:valAx>
        <c:axId val="548484992"/>
        <c:scaling>
          <c:orientation val="minMax"/>
          <c:max val="4"/>
          <c:min val="-2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dirty="0"/>
                  <a:t>Unit production cost of olefin ($/kg)</a:t>
                </a:r>
              </a:p>
            </c:rich>
          </c:tx>
          <c:layout>
            <c:manualLayout>
              <c:xMode val="edge"/>
              <c:yMode val="edge"/>
              <c:x val="1.3055719476532822E-2"/>
              <c:y val="4.2388305210654779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95808"/>
        <c:crosses val="autoZero"/>
        <c:crossBetween val="between"/>
        <c:maj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egendEntry>
        <c:idx val="13"/>
        <c:delete val="1"/>
      </c:legendEntry>
      <c:layout>
        <c:manualLayout>
          <c:xMode val="edge"/>
          <c:yMode val="edge"/>
          <c:x val="0.16162900012322448"/>
          <c:y val="4.4139664207036682E-2"/>
          <c:w val="0.67380495039033295"/>
          <c:h val="0.249429205432574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612289394434798"/>
          <c:y val="1.8859968079106216E-2"/>
          <c:w val="0.84862672725478916"/>
          <c:h val="0.7231392879000612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'4-1. UPC &amp; NCE(Grid)'!$D$150</c:f>
              <c:strCache>
                <c:ptCount val="1"/>
                <c:pt idx="0">
                  <c:v>Feedstock inventory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AAB-4E63-922B-28B1A3216A0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AB-4E63-922B-28B1A3216A0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AB-4E63-922B-28B1A3216A0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AB-4E63-922B-28B1A3216A06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'4-1. UPC &amp; NCE(Grid)'!$F$149:$S$149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NCE(Grid)'!$F$150:$S$150</c:f>
              <c:numCache>
                <c:formatCode>_(* #,##0.00_);_(* \(#,##0.00\);_(* "-"??_);_(@_)</c:formatCode>
                <c:ptCount val="8"/>
                <c:pt idx="0">
                  <c:v>0.4613232108852906</c:v>
                </c:pt>
                <c:pt idx="1">
                  <c:v>0.47796639019814352</c:v>
                </c:pt>
                <c:pt idx="2">
                  <c:v>0.48004149799767554</c:v>
                </c:pt>
                <c:pt idx="3">
                  <c:v>0.4989245554316234</c:v>
                </c:pt>
                <c:pt idx="4">
                  <c:v>0.4613232108852906</c:v>
                </c:pt>
                <c:pt idx="5">
                  <c:v>0.47796639019814352</c:v>
                </c:pt>
                <c:pt idx="6">
                  <c:v>0.48004149799767554</c:v>
                </c:pt>
                <c:pt idx="7">
                  <c:v>0.4989245554316234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AB-4E63-922B-28B1A3216A06}"/>
            </c:ext>
          </c:extLst>
        </c:ser>
        <c:ser>
          <c:idx val="2"/>
          <c:order val="1"/>
          <c:tx>
            <c:strRef>
              <c:f>'4-1. UPC &amp; NCE(Grid)'!$D$151</c:f>
              <c:strCache>
                <c:ptCount val="1"/>
                <c:pt idx="0">
                  <c:v>Direct emission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'4-1. UPC &amp; NCE(Grid)'!$F$149:$S$149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NCE(Grid)'!$F$151:$S$151</c:f>
              <c:numCache>
                <c:formatCode>_(* #,##0.00_);_(* \(#,##0.00\);_(* "-"??_);_(@_)</c:formatCode>
                <c:ptCount val="8"/>
                <c:pt idx="0">
                  <c:v>2.9978772224111885</c:v>
                </c:pt>
                <c:pt idx="1">
                  <c:v>2.5386485177479297</c:v>
                </c:pt>
                <c:pt idx="2">
                  <c:v>2.1625822739606644</c:v>
                </c:pt>
                <c:pt idx="3">
                  <c:v>2.110369207245923</c:v>
                </c:pt>
                <c:pt idx="4">
                  <c:v>0.39952981210696231</c:v>
                </c:pt>
                <c:pt idx="5">
                  <c:v>0.2203203481750054</c:v>
                </c:pt>
                <c:pt idx="6">
                  <c:v>0.17497864721069811</c:v>
                </c:pt>
                <c:pt idx="7">
                  <c:v>0.20933017050316996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AB-4E63-922B-28B1A3216A06}"/>
            </c:ext>
          </c:extLst>
        </c:ser>
        <c:ser>
          <c:idx val="0"/>
          <c:order val="2"/>
          <c:tx>
            <c:strRef>
              <c:f>'4-1. UPC &amp; NCE(Grid)'!$D$152</c:f>
              <c:strCache>
                <c:ptCount val="1"/>
                <c:pt idx="0">
                  <c:v>Indirect emission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'4-1. UPC &amp; NCE(Grid)'!$F$149:$S$149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cat>
          <c:val>
            <c:numRef>
              <c:f>'4-1. UPC &amp; NCE(Grid)'!$F$152:$S$152</c:f>
              <c:numCache>
                <c:formatCode>_(* #,##0.00_);_(* \(#,##0.00\);_(* "-"??_);_(@_)</c:formatCode>
                <c:ptCount val="8"/>
                <c:pt idx="0">
                  <c:v>4.310260929878841</c:v>
                </c:pt>
                <c:pt idx="1">
                  <c:v>3.2387694564490941</c:v>
                </c:pt>
                <c:pt idx="2">
                  <c:v>2.7866522884380549</c:v>
                </c:pt>
                <c:pt idx="3">
                  <c:v>2.532412807318654</c:v>
                </c:pt>
                <c:pt idx="4">
                  <c:v>5.0397514416268248</c:v>
                </c:pt>
                <c:pt idx="5">
                  <c:v>3.8721964147507064</c:v>
                </c:pt>
                <c:pt idx="6">
                  <c:v>3.3099455158565592</c:v>
                </c:pt>
                <c:pt idx="7">
                  <c:v>2.9994330856547733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AB-4E63-922B-28B1A3216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548495808"/>
        <c:axId val="548484992"/>
      </c:barChart>
      <c:scatterChart>
        <c:scatterStyle val="lineMarker"/>
        <c:varyColors val="0"/>
        <c:ser>
          <c:idx val="3"/>
          <c:order val="3"/>
          <c:tx>
            <c:strRef>
              <c:f>'4-1. UPC &amp; NCE(Grid)'!$D$154</c:f>
              <c:strCache>
                <c:ptCount val="1"/>
                <c:pt idx="0">
                  <c:v>Net CO2eq emission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strRef>
              <c:f>'4-1. UPC &amp; NCE(Grid)'!$F$149:$S$149</c:f>
              <c:strCache>
                <c:ptCount val="8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  <c:pt idx="5">
                  <c:v>Case 2 (Base w CCS)</c:v>
                </c:pt>
                <c:pt idx="6">
                  <c:v>Case 3 (Base w CCS)</c:v>
                </c:pt>
                <c:pt idx="7">
                  <c:v>Case 4 (Base w CCS)</c:v>
                </c:pt>
              </c:strCache>
            </c:strRef>
          </c:xVal>
          <c:yVal>
            <c:numRef>
              <c:f>'4-1. UPC &amp; NCE(Grid)'!$F$154:$S$154</c:f>
              <c:numCache>
                <c:formatCode>_(* #,##0.00_);_(* \(#,##0.00\);_(* "-"??_);_(@_)</c:formatCode>
                <c:ptCount val="8"/>
                <c:pt idx="0">
                  <c:v>7.7694613631753207</c:v>
                </c:pt>
                <c:pt idx="1">
                  <c:v>6.2553843643951677</c:v>
                </c:pt>
                <c:pt idx="2">
                  <c:v>5.4292760603963952</c:v>
                </c:pt>
                <c:pt idx="3">
                  <c:v>5.1417065699962006</c:v>
                </c:pt>
                <c:pt idx="4">
                  <c:v>5.9006044646190778</c:v>
                </c:pt>
                <c:pt idx="5">
                  <c:v>4.5704831531238552</c:v>
                </c:pt>
                <c:pt idx="6">
                  <c:v>3.9649656610649329</c:v>
                </c:pt>
                <c:pt idx="7">
                  <c:v>3.7076878115895666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AAB-4E63-922B-28B1A3216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495808"/>
        <c:axId val="548484992"/>
      </c:scatterChart>
      <c:catAx>
        <c:axId val="54849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84992"/>
        <c:crosses val="autoZero"/>
        <c:auto val="1"/>
        <c:lblAlgn val="ctr"/>
        <c:lblOffset val="100"/>
        <c:noMultiLvlLbl val="0"/>
      </c:catAx>
      <c:valAx>
        <c:axId val="548484992"/>
        <c:scaling>
          <c:orientation val="minMax"/>
          <c:max val="14"/>
          <c:min val="-6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dirty="0"/>
                  <a:t>Net CO</a:t>
                </a:r>
                <a:r>
                  <a:rPr lang="en-US" sz="1000" b="1" dirty="0"/>
                  <a:t>2eq</a:t>
                </a:r>
                <a:r>
                  <a:rPr lang="en-US" b="1" dirty="0"/>
                  <a:t> emission (kgCO</a:t>
                </a:r>
                <a:r>
                  <a:rPr lang="en-US" sz="1000" b="1" baseline="0" dirty="0"/>
                  <a:t>2eq</a:t>
                </a:r>
                <a:r>
                  <a:rPr lang="en-US" b="1" dirty="0"/>
                  <a:t>/</a:t>
                </a:r>
                <a:r>
                  <a:rPr lang="en-US" b="1" dirty="0" err="1"/>
                  <a:t>kgolefin</a:t>
                </a:r>
                <a:r>
                  <a:rPr lang="en-US" b="1" dirty="0"/>
                  <a:t>)</a:t>
                </a:r>
              </a:p>
            </c:rich>
          </c:tx>
          <c:layout>
            <c:manualLayout>
              <c:xMode val="edge"/>
              <c:yMode val="edge"/>
              <c:x val="1.9529036021940676E-3"/>
              <c:y val="1.177615208662784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95808"/>
        <c:crosses val="autoZero"/>
        <c:crossBetween val="between"/>
        <c:majorUnit val="2"/>
        <c:min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.68015208333333343"/>
          <c:y val="4.8339533999674396E-2"/>
          <c:w val="0.29227175925925936"/>
          <c:h val="0.135346685283368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65518857289577"/>
          <c:y val="4.0435777997790412E-2"/>
          <c:w val="0.82335185185185189"/>
          <c:h val="0.65049871277311033"/>
        </c:manualLayout>
      </c:layout>
      <c:lineChart>
        <c:grouping val="standard"/>
        <c:varyColors val="0"/>
        <c:ser>
          <c:idx val="0"/>
          <c:order val="0"/>
          <c:tx>
            <c:strRef>
              <c:f>'4-1. UPC &amp; NCE(Grid)'!$AH$93</c:f>
              <c:strCache>
                <c:ptCount val="1"/>
                <c:pt idx="0">
                  <c:v>Case 1_FH</c:v>
                </c:pt>
              </c:strCache>
            </c:strRef>
          </c:tx>
          <c:marker>
            <c:symbol val="circle"/>
            <c:size val="7"/>
            <c:spPr>
              <a:solidFill>
                <a:schemeClr val="accent5"/>
              </a:solidFill>
              <a:ln w="6350" cap="flat" cmpd="sng" algn="ctr">
                <a:noFill/>
                <a:prstDash val="solid"/>
                <a:miter lim="800000"/>
              </a:ln>
              <a:effectLst/>
            </c:spPr>
          </c:marker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NCE(Grid)'!$AH$94:$AH$100</c:f>
              <c:numCache>
                <c:formatCode>0.00</c:formatCode>
                <c:ptCount val="7"/>
                <c:pt idx="0">
                  <c:v>1.1198933583203121</c:v>
                </c:pt>
                <c:pt idx="1">
                  <c:v>1.1991562153548323</c:v>
                </c:pt>
                <c:pt idx="2">
                  <c:v>1.2784190723893527</c:v>
                </c:pt>
                <c:pt idx="3">
                  <c:v>1.3576819294238733</c:v>
                </c:pt>
                <c:pt idx="4">
                  <c:v>1.436944786458394</c:v>
                </c:pt>
                <c:pt idx="5">
                  <c:v>1.5162076434929144</c:v>
                </c:pt>
                <c:pt idx="6">
                  <c:v>1.5954705005274348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3C-4C45-9665-B547B351D403}"/>
            </c:ext>
          </c:extLst>
        </c:ser>
        <c:ser>
          <c:idx val="1"/>
          <c:order val="1"/>
          <c:tx>
            <c:strRef>
              <c:f>'4-1. UPC &amp; NCE(Grid)'!$AI$93</c:f>
              <c:strCache>
                <c:ptCount val="1"/>
                <c:pt idx="0">
                  <c:v>Case 2_FH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7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63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marker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NCE(Grid)'!$AI$94:$AI$100</c:f>
              <c:numCache>
                <c:formatCode>0.00</c:formatCode>
                <c:ptCount val="7"/>
                <c:pt idx="0">
                  <c:v>0.7432643367167785</c:v>
                </c:pt>
                <c:pt idx="1">
                  <c:v>0.81957538536814256</c:v>
                </c:pt>
                <c:pt idx="2">
                  <c:v>0.89588643401950696</c:v>
                </c:pt>
                <c:pt idx="3">
                  <c:v>0.97219748267087103</c:v>
                </c:pt>
                <c:pt idx="4">
                  <c:v>1.0485085313222353</c:v>
                </c:pt>
                <c:pt idx="5">
                  <c:v>1.1248195799735996</c:v>
                </c:pt>
                <c:pt idx="6">
                  <c:v>1.2011306286249634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3C-4C45-9665-B547B351D403}"/>
            </c:ext>
          </c:extLst>
        </c:ser>
        <c:ser>
          <c:idx val="2"/>
          <c:order val="2"/>
          <c:tx>
            <c:strRef>
              <c:f>'4-1. UPC &amp; NCE(Grid)'!$AJ$93</c:f>
              <c:strCache>
                <c:ptCount val="1"/>
                <c:pt idx="0">
                  <c:v>Case 3_FH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circle"/>
            <c:size val="7"/>
            <c:spPr>
              <a:solidFill>
                <a:schemeClr val="accent6"/>
              </a:solidFill>
              <a:ln w="6350" cap="flat" cmpd="sng" algn="ctr">
                <a:noFill/>
                <a:prstDash val="solid"/>
                <a:miter lim="800000"/>
              </a:ln>
              <a:effectLst/>
            </c:spPr>
          </c:marker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NCE(Grid)'!$AJ$94:$AJ$100</c:f>
              <c:numCache>
                <c:formatCode>0.00</c:formatCode>
                <c:ptCount val="7"/>
                <c:pt idx="0">
                  <c:v>0.49642908645570372</c:v>
                </c:pt>
                <c:pt idx="1">
                  <c:v>0.57168748954746773</c:v>
                </c:pt>
                <c:pt idx="2">
                  <c:v>0.6469458926392323</c:v>
                </c:pt>
                <c:pt idx="3">
                  <c:v>0.72220429573099632</c:v>
                </c:pt>
                <c:pt idx="4">
                  <c:v>0.79746269882276077</c:v>
                </c:pt>
                <c:pt idx="5">
                  <c:v>0.87272110191452479</c:v>
                </c:pt>
                <c:pt idx="6">
                  <c:v>0.94797950500628936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3C-4C45-9665-B547B351D403}"/>
            </c:ext>
          </c:extLst>
        </c:ser>
        <c:ser>
          <c:idx val="3"/>
          <c:order val="3"/>
          <c:tx>
            <c:strRef>
              <c:f>'4-1. UPC &amp; NCE(Grid)'!$AK$93</c:f>
              <c:strCache>
                <c:ptCount val="1"/>
                <c:pt idx="0">
                  <c:v>Case 4_FH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circle"/>
            <c:size val="7"/>
            <c:spPr>
              <a:solidFill>
                <a:schemeClr val="accent4"/>
              </a:solidFill>
              <a:ln>
                <a:noFill/>
              </a:ln>
            </c:spPr>
          </c:marker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NCE(Grid)'!$AK$94:$AK$100</c:f>
              <c:numCache>
                <c:formatCode>0.00</c:formatCode>
                <c:ptCount val="7"/>
                <c:pt idx="0">
                  <c:v>0.32426081736665957</c:v>
                </c:pt>
                <c:pt idx="1">
                  <c:v>0.40426710215490624</c:v>
                </c:pt>
                <c:pt idx="2">
                  <c:v>0.48427338694315286</c:v>
                </c:pt>
                <c:pt idx="3">
                  <c:v>0.56427967173139948</c:v>
                </c:pt>
                <c:pt idx="4">
                  <c:v>0.64428595651964615</c:v>
                </c:pt>
                <c:pt idx="5">
                  <c:v>0.72429224130789283</c:v>
                </c:pt>
                <c:pt idx="6">
                  <c:v>0.8042985260961395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3C-4C45-9665-B547B351D403}"/>
            </c:ext>
          </c:extLst>
        </c:ser>
        <c:ser>
          <c:idx val="4"/>
          <c:order val="4"/>
          <c:tx>
            <c:strRef>
              <c:f>'4-1. UPC &amp; NCE(Grid)'!$AL$93</c:f>
              <c:strCache>
                <c:ptCount val="1"/>
              </c:strCache>
            </c:strRef>
          </c:tx>
          <c:spPr>
            <a:ln>
              <a:solidFill>
                <a:srgbClr val="9966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9966FF"/>
              </a:solidFill>
              <a:ln>
                <a:noFill/>
              </a:ln>
            </c:spPr>
          </c:marker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NCE(Grid)'!$AL$94:$AL$100</c:f>
              <c:numCache>
                <c:formatCode>0.00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3C-4C45-9665-B547B351D403}"/>
            </c:ext>
          </c:extLst>
        </c:ser>
        <c:ser>
          <c:idx val="5"/>
          <c:order val="5"/>
          <c:tx>
            <c:strRef>
              <c:f>'4-1. UPC &amp; NCE(Grid)'!$AM$93</c:f>
              <c:strCache>
                <c:ptCount val="1"/>
                <c:pt idx="0">
                  <c:v>Case 4_efurnace</c:v>
                </c:pt>
              </c:strCache>
            </c:strRef>
          </c:tx>
          <c:spPr>
            <a:ln>
              <a:solidFill>
                <a:schemeClr val="accent4"/>
              </a:solidFill>
              <a:prstDash val="sysDash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NCE(Grid)'!$AM$94:$AM$100</c:f>
              <c:numCache>
                <c:formatCode>0.00</c:formatCode>
                <c:ptCount val="7"/>
                <c:pt idx="0">
                  <c:v>0.58809619194581564</c:v>
                </c:pt>
                <c:pt idx="1">
                  <c:v>0.64223093959095334</c:v>
                </c:pt>
                <c:pt idx="2">
                  <c:v>0.69636568723609116</c:v>
                </c:pt>
                <c:pt idx="3">
                  <c:v>0.75050043488122853</c:v>
                </c:pt>
                <c:pt idx="4">
                  <c:v>0.80463518252636634</c:v>
                </c:pt>
                <c:pt idx="5">
                  <c:v>0.85876993017150405</c:v>
                </c:pt>
                <c:pt idx="6">
                  <c:v>0.91290467781664153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3C-4C45-9665-B547B351D403}"/>
            </c:ext>
          </c:extLst>
        </c:ser>
        <c:ser>
          <c:idx val="6"/>
          <c:order val="6"/>
          <c:tx>
            <c:strRef>
              <c:f>'4-1. UPC &amp; NCE(Grid)'!$AN$93</c:f>
              <c:strCache>
                <c:ptCount val="1"/>
              </c:strCache>
            </c:strRef>
          </c:tx>
          <c:spPr>
            <a:ln>
              <a:solidFill>
                <a:srgbClr val="9966FF"/>
              </a:solidFill>
              <a:prstDash val="sysDash"/>
            </a:ln>
          </c:spPr>
          <c:marker>
            <c:symbol val="triangle"/>
            <c:size val="8"/>
            <c:spPr>
              <a:solidFill>
                <a:srgbClr val="9966FF"/>
              </a:solidFill>
              <a:ln>
                <a:solidFill>
                  <a:srgbClr val="9966FF"/>
                </a:solidFill>
              </a:ln>
            </c:spPr>
          </c:marker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NCE(Grid)'!$AN$94:$AN$100</c:f>
              <c:numCache>
                <c:formatCode>0.00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3C-4C45-9665-B547B351D403}"/>
            </c:ext>
          </c:extLst>
        </c:ser>
        <c:ser>
          <c:idx val="7"/>
          <c:order val="7"/>
          <c:tx>
            <c:strRef>
              <c:f>'4-1. UPC &amp; NCE(Grid)'!$AO$93</c:f>
              <c:strCache>
                <c:ptCount val="1"/>
                <c:pt idx="0">
                  <c:v>OCM</c:v>
                </c:pt>
              </c:strCache>
            </c:strRef>
          </c:tx>
          <c:marker>
            <c:symbol val="circle"/>
            <c:size val="6"/>
          </c:marker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NCE(Grid)'!$AO$94:$AO$100</c:f>
              <c:numCache>
                <c:formatCode>0.00</c:formatCode>
                <c:ptCount val="7"/>
                <c:pt idx="0">
                  <c:v>0.20731209375604584</c:v>
                </c:pt>
                <c:pt idx="1">
                  <c:v>0.26486519701697964</c:v>
                </c:pt>
                <c:pt idx="2">
                  <c:v>0.32241830027791329</c:v>
                </c:pt>
                <c:pt idx="3">
                  <c:v>0.37997140353884712</c:v>
                </c:pt>
                <c:pt idx="4">
                  <c:v>0.43752450679978061</c:v>
                </c:pt>
                <c:pt idx="5">
                  <c:v>0.49507761006071443</c:v>
                </c:pt>
                <c:pt idx="6">
                  <c:v>0.55263071332164826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A3C-4C45-9665-B547B351D403}"/>
            </c:ext>
          </c:extLst>
        </c:ser>
        <c:ser>
          <c:idx val="8"/>
          <c:order val="8"/>
          <c:tx>
            <c:strRef>
              <c:f>'4-1. UPC &amp; NCE(Grid)'!$AP$93</c:f>
              <c:strCache>
                <c:ptCount val="1"/>
                <c:pt idx="0">
                  <c:v>MTO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>
                <a:noFill/>
              </a:ln>
            </c:spPr>
          </c:marker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NCE(Grid)'!$AP$94:$AP$100</c:f>
              <c:numCache>
                <c:formatCode>0.00</c:formatCode>
                <c:ptCount val="7"/>
                <c:pt idx="0">
                  <c:v>0.42350103259569943</c:v>
                </c:pt>
                <c:pt idx="1">
                  <c:v>0.45111556293962757</c:v>
                </c:pt>
                <c:pt idx="2">
                  <c:v>0.47873009328355576</c:v>
                </c:pt>
                <c:pt idx="3">
                  <c:v>0.50634462362748389</c:v>
                </c:pt>
                <c:pt idx="4">
                  <c:v>0.53395915397141192</c:v>
                </c:pt>
                <c:pt idx="5">
                  <c:v>0.56157368431534005</c:v>
                </c:pt>
                <c:pt idx="6">
                  <c:v>0.58918821465926829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3C-4C45-9665-B547B351D403}"/>
            </c:ext>
          </c:extLst>
        </c:ser>
        <c:ser>
          <c:idx val="9"/>
          <c:order val="9"/>
          <c:tx>
            <c:strRef>
              <c:f>'4-1. UPC &amp; NCE(Grid)'!$AQ$93</c:f>
              <c:strCache>
                <c:ptCount val="1"/>
                <c:pt idx="0">
                  <c:v>DHCO2</c:v>
                </c:pt>
              </c:strCache>
            </c:strRef>
          </c:tx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NCE(Grid)'!$AQ$94:$AQ$100</c:f>
              <c:numCache>
                <c:formatCode>0.00</c:formatCode>
                <c:ptCount val="7"/>
                <c:pt idx="0">
                  <c:v>3.779283016490445</c:v>
                </c:pt>
                <c:pt idx="1">
                  <c:v>3.779283016490445</c:v>
                </c:pt>
                <c:pt idx="2">
                  <c:v>3.779283016490445</c:v>
                </c:pt>
                <c:pt idx="3">
                  <c:v>3.779283016490445</c:v>
                </c:pt>
                <c:pt idx="4">
                  <c:v>3.779283016490445</c:v>
                </c:pt>
                <c:pt idx="5">
                  <c:v>3.779283016490445</c:v>
                </c:pt>
                <c:pt idx="6">
                  <c:v>3.779283016490445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A3C-4C45-9665-B547B351D403}"/>
            </c:ext>
          </c:extLst>
        </c:ser>
        <c:ser>
          <c:idx val="10"/>
          <c:order val="10"/>
          <c:tx>
            <c:strRef>
              <c:f>'4-1. UPC &amp; NCE(Grid)'!$AR$93</c:f>
              <c:strCache>
                <c:ptCount val="1"/>
                <c:pt idx="0">
                  <c:v>NapCracking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6"/>
            <c:spPr>
              <a:solidFill>
                <a:schemeClr val="tx1"/>
              </a:solidFill>
              <a:ln>
                <a:noFill/>
              </a:ln>
            </c:spPr>
          </c:marker>
          <c:cat>
            <c:numRef>
              <c:f>'4-1. UPC &amp; NCE(Grid)'!$AG$94:$AG$100</c:f>
              <c:numCache>
                <c:formatCode>General</c:formatCode>
                <c:ptCount val="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</c:numCache>
            </c:numRef>
          </c:cat>
          <c:val>
            <c:numRef>
              <c:f>'4-1. UPC &amp; NCE(Grid)'!$AR$94:$AR$100</c:f>
              <c:numCache>
                <c:formatCode>0.00</c:formatCode>
                <c:ptCount val="7"/>
                <c:pt idx="0">
                  <c:v>0.92114647541509476</c:v>
                </c:pt>
                <c:pt idx="1">
                  <c:v>0.92114647541509476</c:v>
                </c:pt>
                <c:pt idx="2">
                  <c:v>0.92114647541509476</c:v>
                </c:pt>
                <c:pt idx="3">
                  <c:v>0.92114647541509476</c:v>
                </c:pt>
                <c:pt idx="4">
                  <c:v>0.92114647541509476</c:v>
                </c:pt>
                <c:pt idx="5">
                  <c:v>0.92114647541509476</c:v>
                </c:pt>
                <c:pt idx="6">
                  <c:v>0.92114647541509476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3C-4C45-9665-B547B351D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9286543"/>
        <c:axId val="1989289871"/>
      </c:lineChart>
      <c:catAx>
        <c:axId val="1989286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dirty="0"/>
                  <a:t>Natural gas feedstock price</a:t>
                </a:r>
                <a:r>
                  <a:rPr lang="en-US" sz="1200" b="1" baseline="0" dirty="0"/>
                  <a:t> ($/MMBTU)</a:t>
                </a:r>
                <a:endParaRPr lang="en-US" sz="1200" b="1" dirty="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1989289871"/>
        <c:crosses val="autoZero"/>
        <c:auto val="1"/>
        <c:lblAlgn val="ctr"/>
        <c:lblOffset val="100"/>
        <c:noMultiLvlLbl val="0"/>
      </c:catAx>
      <c:valAx>
        <c:axId val="1989289871"/>
        <c:scaling>
          <c:orientation val="minMax"/>
          <c:max val="2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baseline="0" dirty="0">
                    <a:effectLst/>
                  </a:rPr>
                  <a:t>Unit production cost of olefin ($/kg)</a:t>
                </a:r>
                <a:endParaRPr lang="en-US" sz="1200" dirty="0"/>
              </a:p>
            </c:rich>
          </c:tx>
          <c:layout>
            <c:manualLayout>
              <c:xMode val="edge"/>
              <c:yMode val="edge"/>
              <c:x val="3.0254629629629625E-4"/>
              <c:y val="5.7002338349570386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1989286543"/>
        <c:crossesAt val="1"/>
        <c:crossBetween val="between"/>
        <c:majorUnit val="0.25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egendEntry>
        <c:idx val="9"/>
        <c:delete val="1"/>
      </c:legendEntry>
      <c:layout>
        <c:manualLayout>
          <c:xMode val="edge"/>
          <c:yMode val="edge"/>
          <c:x val="9.5847647214268389E-2"/>
          <c:y val="0.82600471137535292"/>
          <c:w val="0.88256003685107898"/>
          <c:h val="0.173995288624647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 algn="ctr">
        <a:defRPr lang="en-US" sz="11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65518857289577"/>
          <c:y val="4.0435777997790412E-2"/>
          <c:w val="0.82335185185185189"/>
          <c:h val="0.65049871277311033"/>
        </c:manualLayout>
      </c:layout>
      <c:lineChart>
        <c:grouping val="standard"/>
        <c:varyColors val="0"/>
        <c:ser>
          <c:idx val="0"/>
          <c:order val="0"/>
          <c:tx>
            <c:strRef>
              <c:f>'4-1. UPC &amp; NCE(Grid)'!$AH$93</c:f>
              <c:strCache>
                <c:ptCount val="1"/>
                <c:pt idx="0">
                  <c:v>Case 1_FH</c:v>
                </c:pt>
              </c:strCache>
            </c:strRef>
          </c:tx>
          <c:marker>
            <c:symbol val="circle"/>
            <c:size val="7"/>
            <c:spPr>
              <a:solidFill>
                <a:schemeClr val="accent5"/>
              </a:solidFill>
              <a:ln w="6350" cap="flat" cmpd="sng" algn="ctr">
                <a:noFill/>
                <a:prstDash val="solid"/>
                <a:miter lim="800000"/>
              </a:ln>
              <a:effectLst/>
            </c:spPr>
          </c:marker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NCE(Grid)'!$AH$107:$AH$114</c:f>
              <c:numCache>
                <c:formatCode>0.00</c:formatCode>
                <c:ptCount val="8"/>
                <c:pt idx="0">
                  <c:v>1.66335340217425</c:v>
                </c:pt>
                <c:pt idx="1">
                  <c:v>1.5627262295312334</c:v>
                </c:pt>
                <c:pt idx="2">
                  <c:v>1.4620990568882168</c:v>
                </c:pt>
                <c:pt idx="3">
                  <c:v>1.3614718842452005</c:v>
                </c:pt>
                <c:pt idx="4">
                  <c:v>1.2608447116021839</c:v>
                </c:pt>
                <c:pt idx="5">
                  <c:v>1.1602175389591676</c:v>
                </c:pt>
                <c:pt idx="6">
                  <c:v>1.0595903663161512</c:v>
                </c:pt>
                <c:pt idx="7">
                  <c:v>0.95896319367313476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F8-4B00-8EFD-FF20690250D2}"/>
            </c:ext>
          </c:extLst>
        </c:ser>
        <c:ser>
          <c:idx val="1"/>
          <c:order val="1"/>
          <c:tx>
            <c:strRef>
              <c:f>'4-1. UPC &amp; NCE(Grid)'!$AI$93</c:f>
              <c:strCache>
                <c:ptCount val="1"/>
                <c:pt idx="0">
                  <c:v>Case 2_FH</c:v>
                </c:pt>
              </c:strCache>
            </c:strRef>
          </c:tx>
          <c:marker>
            <c:symbol val="circle"/>
            <c:size val="7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63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marker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NCE(Grid)'!$AI$107:$AI$114</c:f>
              <c:numCache>
                <c:formatCode>0.00</c:formatCode>
                <c:ptCount val="8"/>
                <c:pt idx="0">
                  <c:v>1.3286983016923515</c:v>
                </c:pt>
                <c:pt idx="1">
                  <c:v>1.2135206836332022</c:v>
                </c:pt>
                <c:pt idx="2">
                  <c:v>1.0983430655740527</c:v>
                </c:pt>
                <c:pt idx="3">
                  <c:v>0.98316544751490342</c:v>
                </c:pt>
                <c:pt idx="4">
                  <c:v>0.86798782945575403</c:v>
                </c:pt>
                <c:pt idx="5">
                  <c:v>0.75281021139660464</c:v>
                </c:pt>
                <c:pt idx="6">
                  <c:v>0.63763259333745503</c:v>
                </c:pt>
                <c:pt idx="7">
                  <c:v>0.52245497527830587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F8-4B00-8EFD-FF20690250D2}"/>
            </c:ext>
          </c:extLst>
        </c:ser>
        <c:ser>
          <c:idx val="2"/>
          <c:order val="2"/>
          <c:tx>
            <c:strRef>
              <c:f>'4-1. UPC &amp; NCE(Grid)'!$AJ$93</c:f>
              <c:strCache>
                <c:ptCount val="1"/>
                <c:pt idx="0">
                  <c:v>Case 3_FH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circle"/>
            <c:size val="7"/>
            <c:spPr>
              <a:solidFill>
                <a:schemeClr val="accent6"/>
              </a:solidFill>
              <a:ln w="6350" cap="flat" cmpd="sng" algn="ctr">
                <a:noFill/>
                <a:prstDash val="solid"/>
                <a:miter lim="800000"/>
              </a:ln>
              <a:effectLst/>
            </c:spPr>
          </c:marker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NCE(Grid)'!$AJ$107:$AJ$114</c:f>
              <c:numCache>
                <c:formatCode>0.00</c:formatCode>
                <c:ptCount val="8"/>
                <c:pt idx="0">
                  <c:v>1.1157701551026107</c:v>
                </c:pt>
                <c:pt idx="1">
                  <c:v>0.98983347133972088</c:v>
                </c:pt>
                <c:pt idx="2">
                  <c:v>0.86389678757683097</c:v>
                </c:pt>
                <c:pt idx="3">
                  <c:v>0.73796010381394095</c:v>
                </c:pt>
                <c:pt idx="4">
                  <c:v>0.61202342005105093</c:v>
                </c:pt>
                <c:pt idx="5">
                  <c:v>0.48608673628816079</c:v>
                </c:pt>
                <c:pt idx="6">
                  <c:v>0.36015005252527071</c:v>
                </c:pt>
                <c:pt idx="7">
                  <c:v>0.23421336876238086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F8-4B00-8EFD-FF20690250D2}"/>
            </c:ext>
          </c:extLst>
        </c:ser>
        <c:ser>
          <c:idx val="3"/>
          <c:order val="3"/>
          <c:tx>
            <c:strRef>
              <c:f>'4-1. UPC &amp; NCE(Grid)'!$AK$93</c:f>
              <c:strCache>
                <c:ptCount val="1"/>
                <c:pt idx="0">
                  <c:v>Case 4_FH</c:v>
                </c:pt>
              </c:strCache>
            </c:strRef>
          </c:tx>
          <c:marker>
            <c:symbol val="circle"/>
            <c:size val="7"/>
            <c:spPr>
              <a:solidFill>
                <a:schemeClr val="accent4"/>
              </a:solidFill>
              <a:ln>
                <a:noFill/>
              </a:ln>
            </c:spPr>
          </c:marker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NCE(Grid)'!$AK$107:$AK$114</c:f>
              <c:numCache>
                <c:formatCode>0.00</c:formatCode>
                <c:ptCount val="8"/>
                <c:pt idx="0">
                  <c:v>1.0304281683498002</c:v>
                </c:pt>
                <c:pt idx="1">
                  <c:v>0.88250128963774299</c:v>
                </c:pt>
                <c:pt idx="2">
                  <c:v>0.73457441092568587</c:v>
                </c:pt>
                <c:pt idx="3">
                  <c:v>0.58664753221362875</c:v>
                </c:pt>
                <c:pt idx="4">
                  <c:v>0.43872065350157152</c:v>
                </c:pt>
                <c:pt idx="5">
                  <c:v>0.29079377478951424</c:v>
                </c:pt>
                <c:pt idx="6">
                  <c:v>0.14286689607745726</c:v>
                </c:pt>
                <c:pt idx="7">
                  <c:v>-5.0599826345999969E-3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F8-4B00-8EFD-FF20690250D2}"/>
            </c:ext>
          </c:extLst>
        </c:ser>
        <c:ser>
          <c:idx val="4"/>
          <c:order val="4"/>
          <c:tx>
            <c:strRef>
              <c:f>'4-1. UPC &amp; NCE(Grid)'!$AL$93</c:f>
              <c:strCache>
                <c:ptCount val="1"/>
              </c:strCache>
            </c:strRef>
          </c:tx>
          <c:spPr>
            <a:ln>
              <a:solidFill>
                <a:srgbClr val="9966FF"/>
              </a:solidFill>
            </a:ln>
          </c:spPr>
          <c:marker>
            <c:symbol val="circle"/>
            <c:size val="7"/>
            <c:spPr>
              <a:solidFill>
                <a:srgbClr val="9966FF"/>
              </a:solidFill>
              <a:ln>
                <a:noFill/>
              </a:ln>
            </c:spPr>
          </c:marker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NCE(Grid)'!$AL$107:$AL$114</c:f>
              <c:numCache>
                <c:formatCode>0.00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F8-4B00-8EFD-FF20690250D2}"/>
            </c:ext>
          </c:extLst>
        </c:ser>
        <c:ser>
          <c:idx val="5"/>
          <c:order val="5"/>
          <c:tx>
            <c:strRef>
              <c:f>'4-1. UPC &amp; NCE(Grid)'!$AM$93</c:f>
              <c:strCache>
                <c:ptCount val="1"/>
                <c:pt idx="0">
                  <c:v>Case 4_efurnace</c:v>
                </c:pt>
              </c:strCache>
            </c:strRef>
          </c:tx>
          <c:spPr>
            <a:ln>
              <a:solidFill>
                <a:schemeClr val="accent4"/>
              </a:solidFill>
              <a:prstDash val="sysDash"/>
            </a:ln>
          </c:spPr>
          <c:marker>
            <c:symbol val="triangle"/>
            <c:size val="8"/>
            <c:spPr>
              <a:solidFill>
                <a:schemeClr val="accent4"/>
              </a:solidFill>
              <a:ln>
                <a:noFill/>
              </a:ln>
            </c:spPr>
          </c:marker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NCE(Grid)'!$AM$107:$AM$114</c:f>
              <c:numCache>
                <c:formatCode>0.00</c:formatCode>
                <c:ptCount val="8"/>
                <c:pt idx="0">
                  <c:v>1.4654176806814727</c:v>
                </c:pt>
                <c:pt idx="1">
                  <c:v>1.340024590898929</c:v>
                </c:pt>
                <c:pt idx="2">
                  <c:v>1.2146315011163855</c:v>
                </c:pt>
                <c:pt idx="3">
                  <c:v>1.089238411333842</c:v>
                </c:pt>
                <c:pt idx="4">
                  <c:v>0.96384532155129832</c:v>
                </c:pt>
                <c:pt idx="5">
                  <c:v>0.83845223176875472</c:v>
                </c:pt>
                <c:pt idx="6">
                  <c:v>0.71305914198621112</c:v>
                </c:pt>
                <c:pt idx="7">
                  <c:v>0.58766605220366785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F8-4B00-8EFD-FF20690250D2}"/>
            </c:ext>
          </c:extLst>
        </c:ser>
        <c:ser>
          <c:idx val="6"/>
          <c:order val="6"/>
          <c:tx>
            <c:strRef>
              <c:f>'4-1. UPC &amp; NCE(Grid)'!$AN$93</c:f>
              <c:strCache>
                <c:ptCount val="1"/>
              </c:strCache>
            </c:strRef>
          </c:tx>
          <c:spPr>
            <a:ln>
              <a:solidFill>
                <a:srgbClr val="9966FF"/>
              </a:solidFill>
              <a:prstDash val="sysDash"/>
            </a:ln>
          </c:spPr>
          <c:marker>
            <c:symbol val="triangle"/>
            <c:size val="8"/>
            <c:spPr>
              <a:solidFill>
                <a:srgbClr val="9966FF"/>
              </a:solidFill>
              <a:ln>
                <a:solidFill>
                  <a:srgbClr val="9966FF"/>
                </a:solidFill>
              </a:ln>
            </c:spPr>
          </c:marker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NCE(Grid)'!$AN$107:$AN$114</c:f>
              <c:numCache>
                <c:formatCode>0.00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F8-4B00-8EFD-FF20690250D2}"/>
            </c:ext>
          </c:extLst>
        </c:ser>
        <c:ser>
          <c:idx val="7"/>
          <c:order val="7"/>
          <c:tx>
            <c:strRef>
              <c:f>'4-1. UPC &amp; NCE(Grid)'!$AO$93</c:f>
              <c:strCache>
                <c:ptCount val="1"/>
                <c:pt idx="0">
                  <c:v>OCM</c:v>
                </c:pt>
              </c:strCache>
            </c:strRef>
          </c:tx>
          <c:marker>
            <c:symbol val="circle"/>
            <c:size val="6"/>
          </c:marker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NCE(Grid)'!$AO$107:$AO$114</c:f>
              <c:numCache>
                <c:formatCode>0.00</c:formatCode>
                <c:ptCount val="8"/>
                <c:pt idx="0">
                  <c:v>0.35349697603881752</c:v>
                </c:pt>
                <c:pt idx="1">
                  <c:v>0.35349697603881752</c:v>
                </c:pt>
                <c:pt idx="2">
                  <c:v>0.35349697603881752</c:v>
                </c:pt>
                <c:pt idx="3">
                  <c:v>0.35349697603881752</c:v>
                </c:pt>
                <c:pt idx="4">
                  <c:v>0.35349697603881752</c:v>
                </c:pt>
                <c:pt idx="5">
                  <c:v>0.35349697603881752</c:v>
                </c:pt>
                <c:pt idx="6">
                  <c:v>0.35349697603881752</c:v>
                </c:pt>
                <c:pt idx="7">
                  <c:v>0.35349697603881752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F8-4B00-8EFD-FF20690250D2}"/>
            </c:ext>
          </c:extLst>
        </c:ser>
        <c:ser>
          <c:idx val="8"/>
          <c:order val="8"/>
          <c:tx>
            <c:strRef>
              <c:f>'4-1. UPC &amp; NCE(Grid)'!$AP$93</c:f>
              <c:strCache>
                <c:ptCount val="1"/>
                <c:pt idx="0">
                  <c:v>MTO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>
                <a:noFill/>
              </a:ln>
            </c:spPr>
          </c:marker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NCE(Grid)'!$AP$107:$AP$114</c:f>
              <c:numCache>
                <c:formatCode>0.00</c:formatCode>
                <c:ptCount val="8"/>
                <c:pt idx="0">
                  <c:v>0.49364193966927694</c:v>
                </c:pt>
                <c:pt idx="1">
                  <c:v>0.49364193966927694</c:v>
                </c:pt>
                <c:pt idx="2">
                  <c:v>0.49364193966927694</c:v>
                </c:pt>
                <c:pt idx="3">
                  <c:v>0.49364193966927694</c:v>
                </c:pt>
                <c:pt idx="4">
                  <c:v>0.49364193966927694</c:v>
                </c:pt>
                <c:pt idx="5">
                  <c:v>0.49364193966927694</c:v>
                </c:pt>
                <c:pt idx="6">
                  <c:v>0.49364193966927694</c:v>
                </c:pt>
                <c:pt idx="7">
                  <c:v>0.49364193966927694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F8-4B00-8EFD-FF20690250D2}"/>
            </c:ext>
          </c:extLst>
        </c:ser>
        <c:ser>
          <c:idx val="9"/>
          <c:order val="9"/>
          <c:tx>
            <c:strRef>
              <c:f>'4-1. UPC &amp; NCE(Grid)'!$AQ$93</c:f>
              <c:strCache>
                <c:ptCount val="1"/>
                <c:pt idx="0">
                  <c:v>DHCO2</c:v>
                </c:pt>
              </c:strCache>
            </c:strRef>
          </c:tx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NCE(Grid)'!$AQ$107:$AQ$114</c:f>
              <c:numCache>
                <c:formatCode>0.00</c:formatCode>
                <c:ptCount val="8"/>
                <c:pt idx="0">
                  <c:v>3.779283016490445</c:v>
                </c:pt>
                <c:pt idx="1">
                  <c:v>3.779283016490445</c:v>
                </c:pt>
                <c:pt idx="2">
                  <c:v>3.779283016490445</c:v>
                </c:pt>
                <c:pt idx="3">
                  <c:v>3.779283016490445</c:v>
                </c:pt>
                <c:pt idx="4">
                  <c:v>3.779283016490445</c:v>
                </c:pt>
                <c:pt idx="5">
                  <c:v>3.779283016490445</c:v>
                </c:pt>
                <c:pt idx="6">
                  <c:v>3.779283016490445</c:v>
                </c:pt>
                <c:pt idx="7">
                  <c:v>3.779283016490445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F8-4B00-8EFD-FF20690250D2}"/>
            </c:ext>
          </c:extLst>
        </c:ser>
        <c:ser>
          <c:idx val="10"/>
          <c:order val="10"/>
          <c:tx>
            <c:strRef>
              <c:f>'4-1. UPC &amp; NCE(Grid)'!$AR$93</c:f>
              <c:strCache>
                <c:ptCount val="1"/>
                <c:pt idx="0">
                  <c:v>NapCracking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6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cat>
            <c:numRef>
              <c:f>'4-1. UPC &amp; NCE(Grid)'!$AG$107:$AG$114</c:f>
              <c:numCache>
                <c:formatCode>General</c:formatCode>
                <c:ptCount val="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</c:numCache>
            </c:numRef>
          </c:cat>
          <c:val>
            <c:numRef>
              <c:f>'4-1. UPC &amp; NCE(Grid)'!$AR$107:$AR$114</c:f>
              <c:numCache>
                <c:formatCode>0.00</c:formatCode>
                <c:ptCount val="8"/>
                <c:pt idx="0">
                  <c:v>0.92114647541509476</c:v>
                </c:pt>
                <c:pt idx="1">
                  <c:v>0.92114647541509476</c:v>
                </c:pt>
                <c:pt idx="2">
                  <c:v>0.92114647541509476</c:v>
                </c:pt>
                <c:pt idx="3">
                  <c:v>0.92114647541509476</c:v>
                </c:pt>
                <c:pt idx="4">
                  <c:v>0.92114647541509476</c:v>
                </c:pt>
                <c:pt idx="5">
                  <c:v>0.92114647541509476</c:v>
                </c:pt>
                <c:pt idx="6">
                  <c:v>0.92114647541509476</c:v>
                </c:pt>
                <c:pt idx="7">
                  <c:v>0.92114647541509476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F8-4B00-8EFD-FF2069025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9286543"/>
        <c:axId val="1989289871"/>
      </c:lineChart>
      <c:catAx>
        <c:axId val="1989286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dirty="0"/>
                  <a:t>Hydrogen product price</a:t>
                </a:r>
                <a:r>
                  <a:rPr lang="en-US" sz="1200" b="1" baseline="0" dirty="0"/>
                  <a:t> ($/MMBTU)</a:t>
                </a:r>
                <a:endParaRPr lang="en-US" sz="1200" b="1" dirty="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1989289871"/>
        <c:crosses val="autoZero"/>
        <c:auto val="1"/>
        <c:lblAlgn val="ctr"/>
        <c:lblOffset val="100"/>
        <c:noMultiLvlLbl val="0"/>
      </c:catAx>
      <c:valAx>
        <c:axId val="1989289871"/>
        <c:scaling>
          <c:orientation val="minMax"/>
          <c:max val="2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baseline="0" dirty="0">
                    <a:effectLst/>
                  </a:rPr>
                  <a:t>Unit production cost of olefin ($/kg)</a:t>
                </a:r>
                <a:endParaRPr lang="en-US" sz="1200" dirty="0"/>
              </a:p>
            </c:rich>
          </c:tx>
          <c:layout>
            <c:manualLayout>
              <c:xMode val="edge"/>
              <c:yMode val="edge"/>
              <c:x val="3.0254629629629625E-4"/>
              <c:y val="5.7002338349570386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1989286543"/>
        <c:crossesAt val="1"/>
        <c:crossBetween val="between"/>
        <c:majorUnit val="0.25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egendEntry>
        <c:idx val="9"/>
        <c:delete val="1"/>
      </c:legendEntry>
      <c:layout>
        <c:manualLayout>
          <c:xMode val="edge"/>
          <c:yMode val="edge"/>
          <c:x val="8.1363124435610876E-2"/>
          <c:y val="0.82600471137535292"/>
          <c:w val="0.89704460210073955"/>
          <c:h val="0.173995288624647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 algn="ctr">
        <a:defRPr lang="en-US" sz="11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612289394434798"/>
          <c:y val="3.7933000724190778E-2"/>
          <c:w val="0.57395459488158629"/>
          <c:h val="0.6797111898302121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'4-1. UPC &amp; NCE(Grid)'!$D$150</c:f>
              <c:strCache>
                <c:ptCount val="1"/>
                <c:pt idx="0">
                  <c:v>Feedstock inventory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'4-1. UPC &amp; NCE(Grid)'!$F$149:$J$149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NCE(Grid)'!$F$150:$J$150</c:f>
              <c:numCache>
                <c:formatCode>_(* #,##0.00_);_(* \(#,##0.00\);_(* "-"??_);_(@_)</c:formatCode>
                <c:ptCount val="5"/>
                <c:pt idx="0">
                  <c:v>0.4613232108852906</c:v>
                </c:pt>
                <c:pt idx="1">
                  <c:v>0.47796639019814352</c:v>
                </c:pt>
                <c:pt idx="2">
                  <c:v>0.48004149799767554</c:v>
                </c:pt>
                <c:pt idx="3">
                  <c:v>0.4989245554316234</c:v>
                </c:pt>
                <c:pt idx="4">
                  <c:v>0.4613232108852906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9-4860-B71E-777F4A1F5F04}"/>
            </c:ext>
          </c:extLst>
        </c:ser>
        <c:ser>
          <c:idx val="2"/>
          <c:order val="1"/>
          <c:tx>
            <c:strRef>
              <c:f>'4-1. UPC &amp; NCE(Grid)'!$D$151</c:f>
              <c:strCache>
                <c:ptCount val="1"/>
                <c:pt idx="0">
                  <c:v>Direct emission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'4-1. UPC &amp; NCE(Grid)'!$F$149:$J$149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NCE(Grid)'!$F$151:$J$151</c:f>
              <c:numCache>
                <c:formatCode>_(* #,##0.00_);_(* \(#,##0.00\);_(* "-"??_);_(@_)</c:formatCode>
                <c:ptCount val="5"/>
                <c:pt idx="0">
                  <c:v>2.9978772224111885</c:v>
                </c:pt>
                <c:pt idx="1">
                  <c:v>2.5386485177479297</c:v>
                </c:pt>
                <c:pt idx="2">
                  <c:v>2.1625822739606644</c:v>
                </c:pt>
                <c:pt idx="3">
                  <c:v>2.110369207245923</c:v>
                </c:pt>
                <c:pt idx="4">
                  <c:v>0.39952981210696231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A9-4860-B71E-777F4A1F5F04}"/>
            </c:ext>
          </c:extLst>
        </c:ser>
        <c:ser>
          <c:idx val="0"/>
          <c:order val="2"/>
          <c:tx>
            <c:strRef>
              <c:f>'4-1. UPC &amp; NCE(Grid)'!$D$152</c:f>
              <c:strCache>
                <c:ptCount val="1"/>
                <c:pt idx="0">
                  <c:v>Indirect emission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'4-1. UPC &amp; NCE(Grid)'!$F$149:$J$149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NCE(Grid)'!$F$152:$J$152</c:f>
              <c:numCache>
                <c:formatCode>_(* #,##0.00_);_(* \(#,##0.00\);_(* "-"??_);_(@_)</c:formatCode>
                <c:ptCount val="5"/>
                <c:pt idx="0">
                  <c:v>4.310260929878841</c:v>
                </c:pt>
                <c:pt idx="1">
                  <c:v>3.2387694564490941</c:v>
                </c:pt>
                <c:pt idx="2">
                  <c:v>2.7866522884380549</c:v>
                </c:pt>
                <c:pt idx="3">
                  <c:v>2.532412807318654</c:v>
                </c:pt>
                <c:pt idx="4">
                  <c:v>5.0397514416268248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A9-4860-B71E-777F4A1F5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548495808"/>
        <c:axId val="548484992"/>
      </c:barChart>
      <c:scatterChart>
        <c:scatterStyle val="lineMarker"/>
        <c:varyColors val="0"/>
        <c:ser>
          <c:idx val="3"/>
          <c:order val="3"/>
          <c:tx>
            <c:strRef>
              <c:f>'4-1. UPC &amp; NCE(Grid)'!$D$154</c:f>
              <c:strCache>
                <c:ptCount val="1"/>
                <c:pt idx="0">
                  <c:v>Net CO2eq emission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strRef>
              <c:f>'4-1. UPC &amp; NCE(Grid)'!$F$149:$J$149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xVal>
          <c:yVal>
            <c:numRef>
              <c:f>'4-1. UPC &amp; NCE(Grid)'!$F$154:$J$154</c:f>
              <c:numCache>
                <c:formatCode>_(* #,##0.00_);_(* \(#,##0.00\);_(* "-"??_);_(@_)</c:formatCode>
                <c:ptCount val="5"/>
                <c:pt idx="0">
                  <c:v>7.7694613631753207</c:v>
                </c:pt>
                <c:pt idx="1">
                  <c:v>6.2553843643951677</c:v>
                </c:pt>
                <c:pt idx="2">
                  <c:v>5.4292760603963952</c:v>
                </c:pt>
                <c:pt idx="3">
                  <c:v>5.1417065699962006</c:v>
                </c:pt>
                <c:pt idx="4">
                  <c:v>5.9006044646190778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A9-4860-B71E-777F4A1F5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495808"/>
        <c:axId val="548484992"/>
      </c:scatterChart>
      <c:catAx>
        <c:axId val="54849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84992"/>
        <c:crosses val="autoZero"/>
        <c:auto val="1"/>
        <c:lblAlgn val="ctr"/>
        <c:lblOffset val="0"/>
        <c:noMultiLvlLbl val="0"/>
      </c:catAx>
      <c:valAx>
        <c:axId val="548484992"/>
        <c:scaling>
          <c:orientation val="minMax"/>
          <c:max val="18"/>
          <c:min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dirty="0"/>
                  <a:t>Net CO</a:t>
                </a:r>
                <a:r>
                  <a:rPr lang="en-US" sz="1000" b="1" dirty="0"/>
                  <a:t>2eq</a:t>
                </a:r>
                <a:r>
                  <a:rPr lang="en-US" b="1" dirty="0"/>
                  <a:t> emission (kgCO</a:t>
                </a:r>
                <a:r>
                  <a:rPr lang="en-US" sz="1000" b="1" baseline="0" dirty="0"/>
                  <a:t>2eq</a:t>
                </a:r>
                <a:r>
                  <a:rPr lang="en-US" b="1" dirty="0"/>
                  <a:t>/</a:t>
                </a:r>
                <a:r>
                  <a:rPr lang="en-US" b="1" dirty="0" err="1"/>
                  <a:t>kgolefin</a:t>
                </a:r>
                <a:r>
                  <a:rPr lang="en-US" b="1" dirty="0"/>
                  <a:t>)</a:t>
                </a:r>
              </a:p>
            </c:rich>
          </c:tx>
          <c:layout>
            <c:manualLayout>
              <c:xMode val="edge"/>
              <c:yMode val="edge"/>
              <c:x val="1.9529036021940676E-3"/>
              <c:y val="1.177615208662784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95808"/>
        <c:crosses val="autoZero"/>
        <c:crossBetween val="between"/>
        <c:majorUnit val="2"/>
        <c:minorUnit val="0.2"/>
      </c:valAx>
      <c:spPr>
        <a:noFill/>
        <a:ln>
          <a:noFill/>
        </a:ln>
        <a:effectLst/>
      </c:spPr>
    </c:plotArea>
    <c:legend>
      <c:legendPos val="t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68658349904570892"/>
          <c:y val="2.1533088048288372E-2"/>
          <c:w val="0.29787204094272052"/>
          <c:h val="0.2634652446916134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246988595157043"/>
          <c:y val="3.7932946620058881E-2"/>
          <c:w val="0.84479398148148144"/>
          <c:h val="0.68151882151641541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'4-1. UPC &amp; NCE(Grid)'!$D$110</c:f>
              <c:strCache>
                <c:ptCount val="1"/>
                <c:pt idx="0">
                  <c:v>Annualized capital cost</c:v>
                </c:pt>
              </c:strCache>
            </c:strRef>
          </c:tx>
          <c:spPr>
            <a:solidFill>
              <a:srgbClr val="A5B592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'4-1. UPC &amp; NCE(Grid)'!$F$109:$J$109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NCE(Grid)'!$F$110:$J$110</c:f>
              <c:numCache>
                <c:formatCode>#,##0.00</c:formatCode>
                <c:ptCount val="5"/>
                <c:pt idx="0">
                  <c:v>0.19368639922631645</c:v>
                </c:pt>
                <c:pt idx="1">
                  <c:v>0.1435379387480753</c:v>
                </c:pt>
                <c:pt idx="2">
                  <c:v>0.11411020720838039</c:v>
                </c:pt>
                <c:pt idx="3">
                  <c:v>8.9485436119457987E-2</c:v>
                </c:pt>
                <c:pt idx="4">
                  <c:v>0.19962941899940617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A-435E-B65A-F950E30729E5}"/>
            </c:ext>
          </c:extLst>
        </c:ser>
        <c:ser>
          <c:idx val="1"/>
          <c:order val="1"/>
          <c:tx>
            <c:strRef>
              <c:f>'4-1. UPC &amp; NCE(Grid)'!$D$111</c:f>
              <c:strCache>
                <c:ptCount val="1"/>
                <c:pt idx="0">
                  <c:v>Raw material</c:v>
                </c:pt>
              </c:strCache>
            </c:strRef>
          </c:tx>
          <c:spPr>
            <a:solidFill>
              <a:srgbClr val="A5B59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'4-1. UPC &amp; NCE(Grid)'!$F$109:$J$109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NCE(Grid)'!$F$111:$J$111</c:f>
              <c:numCache>
                <c:formatCode>#,##0.00</c:formatCode>
                <c:ptCount val="5"/>
                <c:pt idx="0">
                  <c:v>0.36199978024561419</c:v>
                </c:pt>
                <c:pt idx="1">
                  <c:v>0.28821501146319584</c:v>
                </c:pt>
                <c:pt idx="2">
                  <c:v>0.23172178756266085</c:v>
                </c:pt>
                <c:pt idx="3">
                  <c:v>0.18908515522854558</c:v>
                </c:pt>
                <c:pt idx="4">
                  <c:v>0.34324804812267551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FA-435E-B65A-F950E30729E5}"/>
            </c:ext>
          </c:extLst>
        </c:ser>
        <c:ser>
          <c:idx val="2"/>
          <c:order val="2"/>
          <c:tx>
            <c:strRef>
              <c:f>'4-1. UPC &amp; NCE(Grid)'!$D$112</c:f>
              <c:strCache>
                <c:ptCount val="1"/>
                <c:pt idx="0">
                  <c:v>Utility</c:v>
                </c:pt>
              </c:strCache>
            </c:strRef>
          </c:tx>
          <c:spPr>
            <a:solidFill>
              <a:srgbClr val="A5B592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'4-1. UPC &amp; NCE(Grid)'!$F$109:$J$109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NCE(Grid)'!$F$112:$J$112</c:f>
              <c:numCache>
                <c:formatCode>#,##0.00</c:formatCode>
                <c:ptCount val="5"/>
                <c:pt idx="0">
                  <c:v>0.75115550440208656</c:v>
                </c:pt>
                <c:pt idx="1">
                  <c:v>0.49563540414024693</c:v>
                </c:pt>
                <c:pt idx="2">
                  <c:v>0.34297281974704319</c:v>
                </c:pt>
                <c:pt idx="3">
                  <c:v>0.25979782663023221</c:v>
                </c:pt>
                <c:pt idx="4">
                  <c:v>0.79561973531430108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FA-435E-B65A-F950E30729E5}"/>
            </c:ext>
          </c:extLst>
        </c:ser>
        <c:ser>
          <c:idx val="0"/>
          <c:order val="3"/>
          <c:tx>
            <c:strRef>
              <c:f>'4-1. UPC &amp; NCE(Grid)'!$D$113</c:f>
              <c:strCache>
                <c:ptCount val="1"/>
                <c:pt idx="0">
                  <c:v>Fixed operating cost</c:v>
                </c:pt>
              </c:strCache>
            </c:strRef>
          </c:tx>
          <c:spPr>
            <a:solidFill>
              <a:srgbClr val="A5B592">
                <a:lumMod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'4-1. UPC &amp; NCE(Grid)'!$F$109:$J$109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NCE(Grid)'!$F$113:$J$113</c:f>
              <c:numCache>
                <c:formatCode>#,##0.00</c:formatCode>
                <c:ptCount val="5"/>
                <c:pt idx="0">
                  <c:v>5.4120032288291674E-2</c:v>
                </c:pt>
                <c:pt idx="1">
                  <c:v>4.0107503214842063E-2</c:v>
                </c:pt>
                <c:pt idx="2">
                  <c:v>3.1884779329937107E-2</c:v>
                </c:pt>
                <c:pt idx="3">
                  <c:v>2.5004103083449282E-2</c:v>
                </c:pt>
                <c:pt idx="4">
                  <c:v>5.5780636353906787E-2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FA-435E-B65A-F950E30729E5}"/>
            </c:ext>
          </c:extLst>
        </c:ser>
        <c:ser>
          <c:idx val="5"/>
          <c:order val="4"/>
          <c:tx>
            <c:strRef>
              <c:f>'4-1. UPC &amp; NCE(Grid)'!$D$114</c:f>
              <c:strCache>
                <c:ptCount val="1"/>
                <c:pt idx="0">
                  <c:v>Credit_Hydrogen</c:v>
                </c:pt>
              </c:strCache>
            </c:strRef>
          </c:tx>
          <c:spPr>
            <a:solidFill>
              <a:srgbClr val="F3A4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'4-1. UPC &amp; NCE(Grid)'!$F$109:$J$109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NCE(Grid)'!$F$114:$J$114</c:f>
              <c:numCache>
                <c:formatCode>#,##0.00</c:formatCode>
                <c:ptCount val="5"/>
                <c:pt idx="0">
                  <c:v>-0.54338673227228906</c:v>
                </c:pt>
                <c:pt idx="1">
                  <c:v>-0.6219591375194069</c:v>
                </c:pt>
                <c:pt idx="2">
                  <c:v>-0.68005809231960601</c:v>
                </c:pt>
                <c:pt idx="3">
                  <c:v>-0.7988051450451088</c:v>
                </c:pt>
                <c:pt idx="4">
                  <c:v>-0.54338673227228906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FA-435E-B65A-F950E30729E5}"/>
            </c:ext>
          </c:extLst>
        </c:ser>
        <c:ser>
          <c:idx val="6"/>
          <c:order val="5"/>
          <c:tx>
            <c:strRef>
              <c:f>'4-1. UPC &amp; NCE(Grid)'!$D$115</c:f>
              <c:strCache>
                <c:ptCount val="1"/>
                <c:pt idx="0">
                  <c:v>Credit_Raw Naphthalene</c:v>
                </c:pt>
              </c:strCache>
            </c:strRef>
          </c:tx>
          <c:spPr>
            <a:solidFill>
              <a:srgbClr val="E7BC29"/>
            </a:solidFill>
            <a:ln>
              <a:noFill/>
            </a:ln>
            <a:effectLst/>
          </c:spPr>
          <c:invertIfNegative val="0"/>
          <c:cat>
            <c:strRef>
              <c:f>'4-1. UPC &amp; NCE(Grid)'!$F$109:$J$109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NCE(Grid)'!$F$115:$J$115</c:f>
              <c:numCache>
                <c:formatCode>#,##0.00</c:formatCode>
                <c:ptCount val="5"/>
                <c:pt idx="0">
                  <c:v>-5.4760577003244585E-3</c:v>
                </c:pt>
                <c:pt idx="1">
                  <c:v>-9.9636975963702211E-3</c:v>
                </c:pt>
                <c:pt idx="2">
                  <c:v>-1.6548110850575552E-2</c:v>
                </c:pt>
                <c:pt idx="3">
                  <c:v>-2.6341421958585087E-2</c:v>
                </c:pt>
                <c:pt idx="4">
                  <c:v>-5.4760577003244585E-3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FA-435E-B65A-F950E30729E5}"/>
            </c:ext>
          </c:extLst>
        </c:ser>
        <c:ser>
          <c:idx val="4"/>
          <c:order val="6"/>
          <c:tx>
            <c:strRef>
              <c:f>'4-1. UPC &amp; NCE(Grid)'!$D$116</c:f>
              <c:strCache>
                <c:ptCount val="1"/>
                <c:pt idx="0">
                  <c:v>Credit_Benzene</c:v>
                </c:pt>
              </c:strCache>
            </c:strRef>
          </c:tx>
          <c:spPr>
            <a:solidFill>
              <a:srgbClr val="D092A7"/>
            </a:solidFill>
            <a:ln>
              <a:noFill/>
            </a:ln>
            <a:effectLst/>
          </c:spPr>
          <c:invertIfNegative val="0"/>
          <c:cat>
            <c:strRef>
              <c:f>'4-1. UPC &amp; NCE(Grid)'!$F$109:$J$109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NCE(Grid)'!$F$116:$J$116</c:f>
              <c:numCache>
                <c:formatCode>#,##0.00</c:formatCode>
                <c:ptCount val="5"/>
                <c:pt idx="0">
                  <c:v>-5.895869955695146E-2</c:v>
                </c:pt>
                <c:pt idx="1">
                  <c:v>-8.9310760465522915E-2</c:v>
                </c:pt>
                <c:pt idx="2">
                  <c:v>-0.12131539456297778</c:v>
                </c:pt>
                <c:pt idx="3">
                  <c:v>-0.17029359661998092</c:v>
                </c:pt>
                <c:pt idx="4">
                  <c:v>-5.895869955695146E-2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FA-435E-B65A-F950E30729E5}"/>
            </c:ext>
          </c:extLst>
        </c:ser>
        <c:ser>
          <c:idx val="7"/>
          <c:order val="7"/>
          <c:tx>
            <c:strRef>
              <c:f>'4-1. UPC &amp; NCE(Grid)'!$D$117</c:f>
              <c:strCache>
                <c:ptCount val="1"/>
                <c:pt idx="0">
                  <c:v>Credit_C2-C5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strRef>
              <c:f>'4-1. UPC &amp; NCE(Grid)'!$F$109:$J$109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cat>
          <c:val>
            <c:numRef>
              <c:f>'4-1. UPC &amp; NCE(Grid)'!$F$117:$J$117</c:f>
              <c:numCache>
                <c:formatCode>#,##0.00</c:formatCode>
                <c:ptCount val="5"/>
                <c:pt idx="0">
                  <c:v>-1.6840268938956869E-2</c:v>
                </c:pt>
                <c:pt idx="1">
                  <c:v>-1.4043735345025217E-2</c:v>
                </c:pt>
                <c:pt idx="2">
                  <c:v>-1.4618084511545434E-2</c:v>
                </c:pt>
                <c:pt idx="3">
                  <c:v>-1.1382206538552033E-2</c:v>
                </c:pt>
                <c:pt idx="4">
                  <c:v>-1.6840268938956869E-2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DFA-435E-B65A-F950E3072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548495808"/>
        <c:axId val="548484992"/>
        <c:extLst>
          <c:ext xmlns:c15="http://schemas.microsoft.com/office/drawing/2012/chart" uri="{02D57815-91ED-43cb-92C2-25804820EDAC}">
            <c15:filteredBar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'4-1. UPC &amp; NCE(Grid)'!$D$118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809EC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'4-1. UPC &amp; NCE(Grid)'!$F$109:$J$109</c15:sqref>
                        </c15:formulaRef>
                      </c:ext>
                    </c:extLst>
                    <c:strCache>
                      <c:ptCount val="5"/>
                      <c:pt idx="0">
                        <c:v>Case 1 (BASE)</c:v>
                      </c:pt>
                      <c:pt idx="1">
                        <c:v>Case 2 (BASE)</c:v>
                      </c:pt>
                      <c:pt idx="2">
                        <c:v>Case 3 (BASE)</c:v>
                      </c:pt>
                      <c:pt idx="3">
                        <c:v>Case 4 (BASE)</c:v>
                      </c:pt>
                      <c:pt idx="4">
                        <c:v>Case 1 (Base w CCS)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'4-1. UPC &amp; NCE(Grid)'!$F$118:$J$118</c15:sqref>
                        </c15:formulaRef>
                      </c:ext>
                    </c:extLst>
                    <c:numCache>
                      <c:formatCode>#,##0.00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7DFA-435E-B65A-F950E30729E5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NCE(Grid)'!$D$119</c15:sqref>
                        </c15:formulaRef>
                      </c:ext>
                    </c:extLst>
                    <c:strCache>
                      <c:ptCount val="1"/>
                      <c:pt idx="0">
                        <c:v>Credit_CO2</c:v>
                      </c:pt>
                    </c:strCache>
                  </c:strRef>
                </c:tx>
                <c:spPr>
                  <a:solidFill>
                    <a:srgbClr val="9966FF"/>
                  </a:solidFill>
                  <a:ln w="25400"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NCE(Grid)'!$F$109:$J$109</c15:sqref>
                        </c15:formulaRef>
                      </c:ext>
                    </c:extLst>
                    <c:strCache>
                      <c:ptCount val="5"/>
                      <c:pt idx="0">
                        <c:v>Case 1 (BASE)</c:v>
                      </c:pt>
                      <c:pt idx="1">
                        <c:v>Case 2 (BASE)</c:v>
                      </c:pt>
                      <c:pt idx="2">
                        <c:v>Case 3 (BASE)</c:v>
                      </c:pt>
                      <c:pt idx="3">
                        <c:v>Case 4 (BASE)</c:v>
                      </c:pt>
                      <c:pt idx="4">
                        <c:v>Case 1 (Base w CCS)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NCE(Grid)'!$F$119:$J$119</c15:sqref>
                        </c15:formulaRef>
                      </c:ext>
                    </c:extLst>
                    <c:numCache>
                      <c:formatCode>#,##0.00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-0.12805075292903281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DFA-435E-B65A-F950E30729E5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NCE(Grid)'!$D$120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4472C4"/>
                  </a:solidFill>
                  <a:ln w="25400"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NCE(Grid)'!$F$109:$J$109</c15:sqref>
                        </c15:formulaRef>
                      </c:ext>
                    </c:extLst>
                    <c:strCache>
                      <c:ptCount val="5"/>
                      <c:pt idx="0">
                        <c:v>Case 1 (BASE)</c:v>
                      </c:pt>
                      <c:pt idx="1">
                        <c:v>Case 2 (BASE)</c:v>
                      </c:pt>
                      <c:pt idx="2">
                        <c:v>Case 3 (BASE)</c:v>
                      </c:pt>
                      <c:pt idx="3">
                        <c:v>Case 4 (BASE)</c:v>
                      </c:pt>
                      <c:pt idx="4">
                        <c:v>Case 1 (Base w CCS)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NCE(Grid)'!$F$120:$J$120</c15:sqref>
                        </c15:formulaRef>
                      </c:ext>
                    </c:extLst>
                    <c:numCache>
                      <c:formatCode>#,##0.00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DFA-435E-B65A-F950E30729E5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NCE(Grid)'!$D$121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6600CC"/>
                  </a:solidFill>
                  <a:ln w="25400"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NCE(Grid)'!$F$109:$J$109</c15:sqref>
                        </c15:formulaRef>
                      </c:ext>
                    </c:extLst>
                    <c:strCache>
                      <c:ptCount val="5"/>
                      <c:pt idx="0">
                        <c:v>Case 1 (BASE)</c:v>
                      </c:pt>
                      <c:pt idx="1">
                        <c:v>Case 2 (BASE)</c:v>
                      </c:pt>
                      <c:pt idx="2">
                        <c:v>Case 3 (BASE)</c:v>
                      </c:pt>
                      <c:pt idx="3">
                        <c:v>Case 4 (BASE)</c:v>
                      </c:pt>
                      <c:pt idx="4">
                        <c:v>Case 1 (Base w CCS)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NCE(Grid)'!$F$121:$J$121</c15:sqref>
                        </c15:formulaRef>
                      </c:ext>
                    </c:extLst>
                    <c:numCache>
                      <c:formatCode>#,##0.00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DFA-435E-B65A-F950E30729E5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NCE(Grid)'!$D$122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996633"/>
                  </a:solidFill>
                  <a:ln w="25400"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NCE(Grid)'!$F$109:$J$109</c15:sqref>
                        </c15:formulaRef>
                      </c:ext>
                    </c:extLst>
                    <c:strCache>
                      <c:ptCount val="5"/>
                      <c:pt idx="0">
                        <c:v>Case 1 (BASE)</c:v>
                      </c:pt>
                      <c:pt idx="1">
                        <c:v>Case 2 (BASE)</c:v>
                      </c:pt>
                      <c:pt idx="2">
                        <c:v>Case 3 (BASE)</c:v>
                      </c:pt>
                      <c:pt idx="3">
                        <c:v>Case 4 (BASE)</c:v>
                      </c:pt>
                      <c:pt idx="4">
                        <c:v>Case 1 (Base w CCS)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'4-1. UPC &amp; NCE(Grid)'!$F$122:$J$122</c15:sqref>
                        </c15:formulaRef>
                      </c:ext>
                    </c:extLst>
                    <c:numCache>
                      <c:formatCode>#,##0.00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DFA-435E-B65A-F950E30729E5}"/>
                  </c:ext>
                </c:extLst>
              </c15:ser>
            </c15:filteredBarSeries>
          </c:ext>
        </c:extLst>
      </c:barChart>
      <c:scatterChart>
        <c:scatterStyle val="lineMarker"/>
        <c:varyColors val="0"/>
        <c:ser>
          <c:idx val="13"/>
          <c:order val="13"/>
          <c:tx>
            <c:strRef>
              <c:f>'4-1. UPC &amp; NCE(Grid)'!$D$123</c:f>
              <c:strCache>
                <c:ptCount val="1"/>
                <c:pt idx="0">
                  <c:v>UPC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'4-1. UPC &amp; NCE(Grid)'!$F$109:$J$109</c:f>
              <c:strCache>
                <c:ptCount val="5"/>
                <c:pt idx="0">
                  <c:v>Case 1 (BASE)</c:v>
                </c:pt>
                <c:pt idx="1">
                  <c:v>Case 2 (BASE)</c:v>
                </c:pt>
                <c:pt idx="2">
                  <c:v>Case 3 (BASE)</c:v>
                </c:pt>
                <c:pt idx="3">
                  <c:v>Case 4 (BASE)</c:v>
                </c:pt>
                <c:pt idx="4">
                  <c:v>Case 1 (Base w CCS)</c:v>
                </c:pt>
              </c:strCache>
            </c:strRef>
          </c:xVal>
          <c:yVal>
            <c:numRef>
              <c:f>'4-1. UPC &amp; NCE(Grid)'!$F$123:$J$123</c:f>
              <c:numCache>
                <c:formatCode>_(* #,##0.00_);_(* \(#,##0.00\);_(* "-"??_);_(@_)</c:formatCode>
                <c:ptCount val="5"/>
                <c:pt idx="0">
                  <c:v>1.3609617161623091</c:v>
                </c:pt>
                <c:pt idx="1">
                  <c:v>0.96749585756636014</c:v>
                </c:pt>
                <c:pt idx="2">
                  <c:v>0.72068959384802156</c:v>
                </c:pt>
                <c:pt idx="3">
                  <c:v>0.56337252106168501</c:v>
                </c:pt>
                <c:pt idx="4">
                  <c:v>1.3942778387902897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DFA-435E-B65A-F950E3072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495808"/>
        <c:axId val="548484992"/>
      </c:scatterChart>
      <c:catAx>
        <c:axId val="54849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84992"/>
        <c:crosses val="autoZero"/>
        <c:auto val="1"/>
        <c:lblAlgn val="ctr"/>
        <c:lblOffset val="100"/>
        <c:noMultiLvlLbl val="0"/>
      </c:catAx>
      <c:valAx>
        <c:axId val="548484992"/>
        <c:scaling>
          <c:orientation val="minMax"/>
          <c:max val="4"/>
          <c:min val="-2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dirty="0"/>
                  <a:t>Unit production cost of olefin ($/kg)</a:t>
                </a:r>
              </a:p>
            </c:rich>
          </c:tx>
          <c:layout>
            <c:manualLayout>
              <c:xMode val="edge"/>
              <c:yMode val="edge"/>
              <c:x val="1.3055719476532822E-2"/>
              <c:y val="4.2388305210654779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495808"/>
        <c:crosses val="autoZero"/>
        <c:crossBetween val="between"/>
        <c:maj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egendEntry>
        <c:idx val="8"/>
        <c:delete val="1"/>
      </c:legendEntry>
      <c:layout>
        <c:manualLayout>
          <c:xMode val="edge"/>
          <c:yMode val="edge"/>
          <c:x val="0.16162900012322448"/>
          <c:y val="4.4139664207036682E-2"/>
          <c:w val="0.81001624998088839"/>
          <c:h val="0.147268273063000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Garamond" panose="02020404030301010803" pitchFamily="18" charset="0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'5. Sensitivity analysis'!$I$16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 analysis'!$H$17:$H$25</c:f>
              <c:strCache>
                <c:ptCount val="8"/>
                <c:pt idx="0">
                  <c:v> Natural gas price ($/MMBTU) [2.62 3.27 3.92] </c:v>
                </c:pt>
                <c:pt idx="1">
                  <c:v> Electricity price ($/kWh) [0.064 0.080 0.096] </c:v>
                </c:pt>
                <c:pt idx="2">
                  <c:v> Cooling water price ($/ton) [0.024 0.030 0.036] </c:v>
                </c:pt>
                <c:pt idx="3">
                  <c:v> Oxygen price ($/ton) [32 40 48] </c:v>
                </c:pt>
                <c:pt idx="4">
                  <c:v> Hydrogen price ($/kg) [3.16 3.95 4.74] </c:v>
                </c:pt>
                <c:pt idx="5">
                  <c:v> Benzene price ($/kg) [0.50 0.63 0.76] </c:v>
                </c:pt>
                <c:pt idx="6">
                  <c:v> Life time (years) [24 30 36] </c:v>
                </c:pt>
                <c:pt idx="7">
                  <c:v> Interest rate (%) [6.4 8.0 9.6] </c:v>
                </c:pt>
              </c:strCache>
            </c:strRef>
          </c:cat>
          <c:val>
            <c:numRef>
              <c:f>'5. Sensitivity analysis'!$I$17:$I$25</c:f>
              <c:numCache>
                <c:formatCode>0.0%</c:formatCode>
                <c:ptCount val="9"/>
                <c:pt idx="0">
                  <c:v>-9.9534022314202608E-2</c:v>
                </c:pt>
                <c:pt idx="1">
                  <c:v>-9.0781355833326222E-2</c:v>
                </c:pt>
                <c:pt idx="2">
                  <c:v>-1.5237694470053482E-2</c:v>
                </c:pt>
                <c:pt idx="3">
                  <c:v>-4.4565517057186123E-2</c:v>
                </c:pt>
                <c:pt idx="4">
                  <c:v>0.12404185080221304</c:v>
                </c:pt>
                <c:pt idx="5">
                  <c:v>1.7811896885832051E-2</c:v>
                </c:pt>
                <c:pt idx="6">
                  <c:v>2.002015248511264E-2</c:v>
                </c:pt>
                <c:pt idx="7">
                  <c:v>-4.2453003915852924E-2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1-4254-9D4C-68210BFC6336}"/>
            </c:ext>
          </c:extLst>
        </c:ser>
        <c:ser>
          <c:idx val="1"/>
          <c:order val="1"/>
          <c:tx>
            <c:strRef>
              <c:f>'5. Sensitivity analysis'!$J$16</c:f>
              <c:strCache>
                <c:ptCount val="1"/>
                <c:pt idx="0">
                  <c:v>20%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 analysis'!$H$17:$H$25</c:f>
              <c:strCache>
                <c:ptCount val="8"/>
                <c:pt idx="0">
                  <c:v> Natural gas price ($/MMBTU) [2.62 3.27 3.92] </c:v>
                </c:pt>
                <c:pt idx="1">
                  <c:v> Electricity price ($/kWh) [0.064 0.080 0.096] </c:v>
                </c:pt>
                <c:pt idx="2">
                  <c:v> Cooling water price ($/ton) [0.024 0.030 0.036] </c:v>
                </c:pt>
                <c:pt idx="3">
                  <c:v> Oxygen price ($/ton) [32 40 48] </c:v>
                </c:pt>
                <c:pt idx="4">
                  <c:v> Hydrogen price ($/kg) [3.16 3.95 4.74] </c:v>
                </c:pt>
                <c:pt idx="5">
                  <c:v> Benzene price ($/kg) [0.50 0.63 0.76] </c:v>
                </c:pt>
                <c:pt idx="6">
                  <c:v> Life time (years) [24 30 36] </c:v>
                </c:pt>
                <c:pt idx="7">
                  <c:v> Interest rate (%) [6.4 8.0 9.6] </c:v>
                </c:pt>
              </c:strCache>
            </c:strRef>
          </c:cat>
          <c:val>
            <c:numRef>
              <c:f>'5. Sensitivity analysis'!$J$17:$J$25</c:f>
              <c:numCache>
                <c:formatCode>0.0%</c:formatCode>
                <c:ptCount val="9"/>
                <c:pt idx="0">
                  <c:v>9.953402231420283E-2</c:v>
                </c:pt>
                <c:pt idx="1">
                  <c:v>9.0781355833326111E-2</c:v>
                </c:pt>
                <c:pt idx="2">
                  <c:v>1.5237694470053593E-2</c:v>
                </c:pt>
                <c:pt idx="3">
                  <c:v>4.4565517057186345E-2</c:v>
                </c:pt>
                <c:pt idx="4">
                  <c:v>-0.12404185080221271</c:v>
                </c:pt>
                <c:pt idx="5">
                  <c:v>-1.7811896885831721E-2</c:v>
                </c:pt>
                <c:pt idx="6">
                  <c:v>-1.1336485259696424E-2</c:v>
                </c:pt>
                <c:pt idx="7">
                  <c:v>4.468718205267079E-2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B1-4254-9D4C-68210BFC633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3896944"/>
        <c:axId val="213893584"/>
      </c:barChart>
      <c:catAx>
        <c:axId val="213896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893584"/>
        <c:crosses val="autoZero"/>
        <c:auto val="1"/>
        <c:lblAlgn val="ctr"/>
        <c:lblOffset val="100"/>
        <c:noMultiLvlLbl val="0"/>
      </c:catAx>
      <c:valAx>
        <c:axId val="21389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89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'5. Sensitivity analysis'!$O$16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1.753228824738472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D5-4843-B9EC-C3B7DD2D6B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 analysis'!$N$17:$N$24</c:f>
              <c:strCache>
                <c:ptCount val="8"/>
                <c:pt idx="0">
                  <c:v> Natural gas price ($/MMBTU) [2.62 3.27 3.92] </c:v>
                </c:pt>
                <c:pt idx="1">
                  <c:v> Electricity price ($/kWh) [0.064 0.080 0.096] </c:v>
                </c:pt>
                <c:pt idx="2">
                  <c:v> Cooling water price ($/ton) [0.024 0.030 0.036] </c:v>
                </c:pt>
                <c:pt idx="3">
                  <c:v> Oxygen price ($/ton) [32 40 48] </c:v>
                </c:pt>
                <c:pt idx="4">
                  <c:v> Hydrogen price ($/kg) [3.16 3.95 4.74] </c:v>
                </c:pt>
                <c:pt idx="5">
                  <c:v> Benzene price ($/kg) [0.50 0.63 0.76] </c:v>
                </c:pt>
                <c:pt idx="6">
                  <c:v> Life time (years) [24 30 36] </c:v>
                </c:pt>
                <c:pt idx="7">
                  <c:v> Interest rate (%) [6.4 8.0 9.6] </c:v>
                </c:pt>
              </c:strCache>
            </c:strRef>
          </c:cat>
          <c:val>
            <c:numRef>
              <c:f>'5. Sensitivity analysis'!$O$17:$O$24</c:f>
              <c:numCache>
                <c:formatCode>0.0%</c:formatCode>
                <c:ptCount val="8"/>
                <c:pt idx="0">
                  <c:v>-0.13103444083809238</c:v>
                </c:pt>
                <c:pt idx="1">
                  <c:v>-9.4679710472833342E-2</c:v>
                </c:pt>
                <c:pt idx="2">
                  <c:v>-1.1520005722183771E-2</c:v>
                </c:pt>
                <c:pt idx="3">
                  <c:v>-5.2484457968657042E-2</c:v>
                </c:pt>
                <c:pt idx="4">
                  <c:v>0.1810500818603934</c:v>
                </c:pt>
                <c:pt idx="5">
                  <c:v>3.2297479236863089E-2</c:v>
                </c:pt>
                <c:pt idx="6">
                  <c:v>2.5922074703652175E-2</c:v>
                </c:pt>
                <c:pt idx="7">
                  <c:v>-5.4968109744392757E-2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C36-491E-AED1-5E3E7EDDC045}"/>
            </c:ext>
          </c:extLst>
        </c:ser>
        <c:ser>
          <c:idx val="1"/>
          <c:order val="1"/>
          <c:tx>
            <c:strRef>
              <c:f>'5. Sensitivity analysis'!$P$16</c:f>
              <c:strCache>
                <c:ptCount val="1"/>
                <c:pt idx="0">
                  <c:v>20%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3.5064576494769316E-2"/>
                  <c:y val="3.82404687137261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D5-4843-B9EC-C3B7DD2D6B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 analysis'!$N$17:$N$24</c:f>
              <c:strCache>
                <c:ptCount val="8"/>
                <c:pt idx="0">
                  <c:v> Natural gas price ($/MMBTU) [2.62 3.27 3.92] </c:v>
                </c:pt>
                <c:pt idx="1">
                  <c:v> Electricity price ($/kWh) [0.064 0.080 0.096] </c:v>
                </c:pt>
                <c:pt idx="2">
                  <c:v> Cooling water price ($/ton) [0.024 0.030 0.036] </c:v>
                </c:pt>
                <c:pt idx="3">
                  <c:v> Oxygen price ($/ton) [32 40 48] </c:v>
                </c:pt>
                <c:pt idx="4">
                  <c:v> Hydrogen price ($/kg) [3.16 3.95 4.74] </c:v>
                </c:pt>
                <c:pt idx="5">
                  <c:v> Benzene price ($/kg) [0.50 0.63 0.76] </c:v>
                </c:pt>
                <c:pt idx="6">
                  <c:v> Life time (years) [24 30 36] </c:v>
                </c:pt>
                <c:pt idx="7">
                  <c:v> Interest rate (%) [6.4 8.0 9.6] </c:v>
                </c:pt>
              </c:strCache>
            </c:strRef>
          </c:cat>
          <c:val>
            <c:numRef>
              <c:f>'5. Sensitivity analysis'!$P$17:$P$24</c:f>
              <c:numCache>
                <c:formatCode>0.0%</c:formatCode>
                <c:ptCount val="8"/>
                <c:pt idx="0">
                  <c:v>0.13103444083809251</c:v>
                </c:pt>
                <c:pt idx="1">
                  <c:v>9.4679710472833481E-2</c:v>
                </c:pt>
                <c:pt idx="2">
                  <c:v>1.152000572218392E-2</c:v>
                </c:pt>
                <c:pt idx="3">
                  <c:v>5.2484457968657784E-2</c:v>
                </c:pt>
                <c:pt idx="4">
                  <c:v>-0.1810500818603934</c:v>
                </c:pt>
                <c:pt idx="5">
                  <c:v>-3.2297479236862797E-2</c:v>
                </c:pt>
                <c:pt idx="6">
                  <c:v>-1.4678470506016816E-2</c:v>
                </c:pt>
                <c:pt idx="7">
                  <c:v>5.7860921505288689E-2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C36-491E-AED1-5E3E7EDDC0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3869584"/>
        <c:axId val="213861424"/>
      </c:barChart>
      <c:catAx>
        <c:axId val="213869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861424"/>
        <c:crosses val="autoZero"/>
        <c:auto val="1"/>
        <c:lblAlgn val="ctr"/>
        <c:lblOffset val="100"/>
        <c:noMultiLvlLbl val="0"/>
      </c:catAx>
      <c:valAx>
        <c:axId val="21386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86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'5. Sensitivity analysis'!$U$16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3.8939239915235103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DE-45A3-BF8B-12B4BBF025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 analysis'!$T$17:$T$24</c:f>
              <c:strCache>
                <c:ptCount val="8"/>
                <c:pt idx="0">
                  <c:v> Natural gas price ($/MMBTU) [2.62 3.27 3.92] </c:v>
                </c:pt>
                <c:pt idx="1">
                  <c:v> Electricity price ($/kWh) [0.064 0.080 0.096] </c:v>
                </c:pt>
                <c:pt idx="2">
                  <c:v> Cooling water price ($/ton) [0.024 0.030 0.036] </c:v>
                </c:pt>
                <c:pt idx="3">
                  <c:v> Oxygen price ($/ton) [32 40 48] </c:v>
                </c:pt>
                <c:pt idx="4">
                  <c:v> Hydrogen price ($/kg) [3.16 3.95 4.74] </c:v>
                </c:pt>
                <c:pt idx="5">
                  <c:v> Benzene price ($/kg) [0.50 0.63 0.76] </c:v>
                </c:pt>
                <c:pt idx="6">
                  <c:v> Life time (years) [24 30 36] </c:v>
                </c:pt>
                <c:pt idx="7">
                  <c:v> Interest rate (%) [6.4 8.0 9.6] </c:v>
                </c:pt>
              </c:strCache>
            </c:strRef>
          </c:cat>
          <c:val>
            <c:numRef>
              <c:f>'5. Sensitivity analysis'!$U$17:$U$24</c:f>
              <c:numCache>
                <c:formatCode>0.0%</c:formatCode>
                <c:ptCount val="8"/>
                <c:pt idx="0">
                  <c:v>-0.17664042414053044</c:v>
                </c:pt>
                <c:pt idx="1">
                  <c:v>-0.1036479142508895</c:v>
                </c:pt>
                <c:pt idx="2">
                  <c:v>-2.1406936789888958E-2</c:v>
                </c:pt>
                <c:pt idx="3">
                  <c:v>-6.3599941882306735E-2</c:v>
                </c:pt>
                <c:pt idx="4">
                  <c:v>0.26966780504848614</c:v>
                </c:pt>
                <c:pt idx="5">
                  <c:v>5.7489239646458648E-2</c:v>
                </c:pt>
                <c:pt idx="6">
                  <c:v>3.3602753486245258E-2</c:v>
                </c:pt>
                <c:pt idx="7">
                  <c:v>-7.1255092906799544E-2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0-418C-AA89-C5E7D4E66010}"/>
            </c:ext>
          </c:extLst>
        </c:ser>
        <c:ser>
          <c:idx val="1"/>
          <c:order val="1"/>
          <c:tx>
            <c:strRef>
              <c:f>'5. Sensitivity analysis'!$V$16</c:f>
              <c:strCache>
                <c:ptCount val="1"/>
                <c:pt idx="0">
                  <c:v>20%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 analysis'!$T$17:$T$24</c:f>
              <c:strCache>
                <c:ptCount val="8"/>
                <c:pt idx="0">
                  <c:v> Natural gas price ($/MMBTU) [2.62 3.27 3.92] </c:v>
                </c:pt>
                <c:pt idx="1">
                  <c:v> Electricity price ($/kWh) [0.064 0.080 0.096] </c:v>
                </c:pt>
                <c:pt idx="2">
                  <c:v> Cooling water price ($/ton) [0.024 0.030 0.036] </c:v>
                </c:pt>
                <c:pt idx="3">
                  <c:v> Oxygen price ($/ton) [32 40 48] </c:v>
                </c:pt>
                <c:pt idx="4">
                  <c:v> Hydrogen price ($/kg) [3.16 3.95 4.74] </c:v>
                </c:pt>
                <c:pt idx="5">
                  <c:v> Benzene price ($/kg) [0.50 0.63 0.76] </c:v>
                </c:pt>
                <c:pt idx="6">
                  <c:v> Life time (years) [24 30 36] </c:v>
                </c:pt>
                <c:pt idx="7">
                  <c:v> Interest rate (%) [6.4 8.0 9.6] </c:v>
                </c:pt>
              </c:strCache>
            </c:strRef>
          </c:cat>
          <c:val>
            <c:numRef>
              <c:f>'5. Sensitivity analysis'!$V$17:$V$24</c:f>
              <c:numCache>
                <c:formatCode>0.0%</c:formatCode>
                <c:ptCount val="8"/>
                <c:pt idx="0">
                  <c:v>0.17664042414053033</c:v>
                </c:pt>
                <c:pt idx="1">
                  <c:v>0.10364791425088932</c:v>
                </c:pt>
                <c:pt idx="2">
                  <c:v>2.1406936789889707E-2</c:v>
                </c:pt>
                <c:pt idx="3">
                  <c:v>6.3599941882307109E-2</c:v>
                </c:pt>
                <c:pt idx="4">
                  <c:v>-0.26966780504848659</c:v>
                </c:pt>
                <c:pt idx="5">
                  <c:v>-5.7489239646459023E-2</c:v>
                </c:pt>
                <c:pt idx="6">
                  <c:v>-1.9027683223956791E-2</c:v>
                </c:pt>
                <c:pt idx="7">
                  <c:v>7.5005041226708036E-2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A0-418C-AA89-C5E7D4E6601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3869584"/>
        <c:axId val="213861424"/>
      </c:barChart>
      <c:catAx>
        <c:axId val="213869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861424"/>
        <c:crosses val="autoZero"/>
        <c:auto val="1"/>
        <c:lblAlgn val="ctr"/>
        <c:lblOffset val="100"/>
        <c:noMultiLvlLbl val="0"/>
      </c:catAx>
      <c:valAx>
        <c:axId val="21386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86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'5. Sensitivity analysis'!$C$16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1.5534144462344922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35-4ADE-BBA7-8A77DA155C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 analysis'!$B$17:$B$25</c:f>
              <c:strCache>
                <c:ptCount val="8"/>
                <c:pt idx="0">
                  <c:v> Natural gas price ($/MMBTU) [2.62 3.27 3.92] </c:v>
                </c:pt>
                <c:pt idx="1">
                  <c:v> Electricity price ($/kWh) [0.064 0.080 0.096] </c:v>
                </c:pt>
                <c:pt idx="2">
                  <c:v> Cooling water price ($/ton) [0.024 0.030 0.036] </c:v>
                </c:pt>
                <c:pt idx="3">
                  <c:v> Oxygen price ($/ton) [32 40 48] </c:v>
                </c:pt>
                <c:pt idx="4">
                  <c:v> Hydrogen price ($/kg) [3.16 3.95 4.74] </c:v>
                </c:pt>
                <c:pt idx="5">
                  <c:v> Benzene price ($/kg) [0.50 0.63 0.76] </c:v>
                </c:pt>
                <c:pt idx="6">
                  <c:v> Life time (years) [24 30 36] </c:v>
                </c:pt>
                <c:pt idx="7">
                  <c:v> Interest rate (%) [6.4 8.0 9.6] </c:v>
                </c:pt>
              </c:strCache>
            </c:strRef>
          </c:cat>
          <c:val>
            <c:numRef>
              <c:f>'5. Sensitivity analysis'!$C$17:$C$25</c:f>
              <c:numCache>
                <c:formatCode>0.0%</c:formatCode>
                <c:ptCount val="9"/>
                <c:pt idx="0">
                  <c:v>-7.4379463210212396E-2</c:v>
                </c:pt>
                <c:pt idx="1">
                  <c:v>-8.1472882809882186E-2</c:v>
                </c:pt>
                <c:pt idx="2">
                  <c:v>-1.3006648471437164E-2</c:v>
                </c:pt>
                <c:pt idx="3">
                  <c:v>-3.8323341126709064E-2</c:v>
                </c:pt>
                <c:pt idx="4">
                  <c:v>7.7967677769088334E-2</c:v>
                </c:pt>
                <c:pt idx="5">
                  <c:v>8.459670830603571E-3</c:v>
                </c:pt>
                <c:pt idx="6">
                  <c:v>1.587943690816793E-2</c:v>
                </c:pt>
                <c:pt idx="7">
                  <c:v>-3.3672560573416672E-2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A-4DB7-A64C-F9BA9BF572DB}"/>
            </c:ext>
          </c:extLst>
        </c:ser>
        <c:ser>
          <c:idx val="1"/>
          <c:order val="1"/>
          <c:tx>
            <c:strRef>
              <c:f>'5. Sensitivity analysis'!$D$16</c:f>
              <c:strCache>
                <c:ptCount val="1"/>
                <c:pt idx="0">
                  <c:v>20%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 analysis'!$B$17:$B$25</c:f>
              <c:strCache>
                <c:ptCount val="8"/>
                <c:pt idx="0">
                  <c:v> Natural gas price ($/MMBTU) [2.62 3.27 3.92] </c:v>
                </c:pt>
                <c:pt idx="1">
                  <c:v> Electricity price ($/kWh) [0.064 0.080 0.096] </c:v>
                </c:pt>
                <c:pt idx="2">
                  <c:v> Cooling water price ($/ton) [0.024 0.030 0.036] </c:v>
                </c:pt>
                <c:pt idx="3">
                  <c:v> Oxygen price ($/ton) [32 40 48] </c:v>
                </c:pt>
                <c:pt idx="4">
                  <c:v> Hydrogen price ($/kg) [3.16 3.95 4.74] </c:v>
                </c:pt>
                <c:pt idx="5">
                  <c:v> Benzene price ($/kg) [0.50 0.63 0.76] </c:v>
                </c:pt>
                <c:pt idx="6">
                  <c:v> Life time (years) [24 30 36] </c:v>
                </c:pt>
                <c:pt idx="7">
                  <c:v> Interest rate (%) [6.4 8.0 9.6] </c:v>
                </c:pt>
              </c:strCache>
            </c:strRef>
          </c:cat>
          <c:val>
            <c:numRef>
              <c:f>'5. Sensitivity analysis'!$D$17:$D$25</c:f>
              <c:numCache>
                <c:formatCode>0.0%</c:formatCode>
                <c:ptCount val="9"/>
                <c:pt idx="0">
                  <c:v>7.4379463210212229E-2</c:v>
                </c:pt>
                <c:pt idx="1">
                  <c:v>8.1472882809882352E-2</c:v>
                </c:pt>
                <c:pt idx="2">
                  <c:v>1.3006648471437005E-2</c:v>
                </c:pt>
                <c:pt idx="3">
                  <c:v>3.8323341126708904E-2</c:v>
                </c:pt>
                <c:pt idx="4">
                  <c:v>-7.7967677769088486E-2</c:v>
                </c:pt>
                <c:pt idx="5">
                  <c:v>-8.459670830603571E-3</c:v>
                </c:pt>
                <c:pt idx="6">
                  <c:v>-8.9917897766056461E-3</c:v>
                </c:pt>
                <c:pt idx="7">
                  <c:v>3.5444649511879145E-2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FA-4DB7-A64C-F9BA9BF572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22450704"/>
        <c:axId val="222469424"/>
      </c:barChart>
      <c:catAx>
        <c:axId val="22245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low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222469424"/>
        <c:crosses val="autoZero"/>
        <c:auto val="1"/>
        <c:lblAlgn val="ctr"/>
        <c:lblOffset val="100"/>
        <c:noMultiLvlLbl val="0"/>
      </c:catAx>
      <c:valAx>
        <c:axId val="22246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245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855155898063406"/>
          <c:y val="8.0457764759575043E-2"/>
          <c:w val="0.12475172004688838"/>
          <c:h val="6.4689426520268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043066215527813"/>
          <c:y val="0.25344796638443357"/>
          <c:w val="0.60349583695012698"/>
          <c:h val="0.615883097812402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'5. Sensitivity'!$E$14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 Sensitivity'!$B$15:$B$19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Sensitivity'!$E$15:$E$19</c:f>
              <c:numCache>
                <c:formatCode>0.0%</c:formatCode>
                <c:ptCount val="5"/>
                <c:pt idx="0">
                  <c:v>-9.0079491179174092</c:v>
                </c:pt>
                <c:pt idx="1">
                  <c:v>17.381693582109417</c:v>
                </c:pt>
                <c:pt idx="2">
                  <c:v>-3.9559325453344218</c:v>
                </c:pt>
                <c:pt idx="3">
                  <c:v>0</c:v>
                </c:pt>
                <c:pt idx="4">
                  <c:v>-2.8711108286854117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6-40BA-B4FF-16CDCE26EAC8}"/>
            </c:ext>
          </c:extLst>
        </c:ser>
        <c:ser>
          <c:idx val="1"/>
          <c:order val="1"/>
          <c:tx>
            <c:strRef>
              <c:f>'5. Sensitivity'!$F$14</c:f>
              <c:strCache>
                <c:ptCount val="1"/>
                <c:pt idx="0">
                  <c:v>+20%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 Sensitivity'!$B$15:$B$19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Sensitivity'!$F$15:$F$19</c:f>
              <c:numCache>
                <c:formatCode>0.0%</c:formatCode>
                <c:ptCount val="5"/>
                <c:pt idx="0">
                  <c:v>9.007949117917434</c:v>
                </c:pt>
                <c:pt idx="1">
                  <c:v>-17.381693582109403</c:v>
                </c:pt>
                <c:pt idx="2">
                  <c:v>3.9559325453344218</c:v>
                </c:pt>
                <c:pt idx="3">
                  <c:v>0</c:v>
                </c:pt>
                <c:pt idx="4">
                  <c:v>3.0222090420072787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06-40BA-B4FF-16CDCE26E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4290495"/>
        <c:axId val="332010319"/>
      </c:barChart>
      <c:catAx>
        <c:axId val="42904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332010319"/>
        <c:crosses val="autoZero"/>
        <c:auto val="1"/>
        <c:lblAlgn val="ctr"/>
        <c:lblOffset val="100"/>
        <c:noMultiLvlLbl val="0"/>
      </c:catAx>
      <c:valAx>
        <c:axId val="332010319"/>
        <c:scaling>
          <c:orientation val="minMax"/>
          <c:max val="0.4"/>
          <c:min val="-0.4"/>
        </c:scaling>
        <c:delete val="0"/>
        <c:axPos val="t"/>
        <c:majorGridlines>
          <c:spPr>
            <a:ln w="9525" cap="flat" cmpd="sng" algn="ctr">
              <a:solidFill>
                <a:sysClr val="window" lastClr="FFFFFF">
                  <a:lumMod val="85000"/>
                </a:sys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 b="1" i="0" dirty="0"/>
                  <a:t>Case 4_FH</a:t>
                </a:r>
              </a:p>
              <a:p>
                <a:pPr algn="ctr">
                  <a:defRPr b="1"/>
                </a:pPr>
                <a:r>
                  <a:rPr lang="en-US" b="1" i="0" dirty="0"/>
                  <a:t>0.01 $/kg</a:t>
                </a:r>
              </a:p>
            </c:rich>
          </c:tx>
          <c:layout>
            <c:manualLayout>
              <c:xMode val="edge"/>
              <c:yMode val="edge"/>
              <c:x val="0.60017975210001318"/>
              <c:y val="7.3770213014071363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0%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4290495"/>
        <c:crosses val="autoZero"/>
        <c:crossBetween val="between"/>
        <c:maj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9848077743065848"/>
          <c:y val="0.72669499999999998"/>
          <c:w val="0.14295253092524052"/>
          <c:h val="0.13032833333333335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4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043066215527813"/>
          <c:y val="0.25344796638443357"/>
          <c:w val="0.60349583695012698"/>
          <c:h val="0.615883097812402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'5. Sensitivity'!$E$14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96-4F76-82BA-39AFD03523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96-4F76-82BA-39AFD03523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Sensitivity'!$B$33:$B$37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Sensitivity'!$E$33:$E$37</c:f>
              <c:numCache>
                <c:formatCode>0.0%</c:formatCode>
                <c:ptCount val="5"/>
                <c:pt idx="0">
                  <c:v>-0.17507133182968554</c:v>
                </c:pt>
                <c:pt idx="1">
                  <c:v>0.28300595202271805</c:v>
                </c:pt>
                <c:pt idx="2">
                  <c:v>-0.15995703485556897</c:v>
                </c:pt>
                <c:pt idx="3">
                  <c:v>0</c:v>
                </c:pt>
                <c:pt idx="4">
                  <c:v>-6.2913540878065902E-2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96-4F76-82BA-39AFD03523C9}"/>
            </c:ext>
          </c:extLst>
        </c:ser>
        <c:ser>
          <c:idx val="1"/>
          <c:order val="1"/>
          <c:tx>
            <c:strRef>
              <c:f>'5. Sensitivity'!$F$14</c:f>
              <c:strCache>
                <c:ptCount val="1"/>
                <c:pt idx="0">
                  <c:v>+20%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96-4F76-82BA-39AFD03523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896-4F76-82BA-39AFD03523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Sensitivity'!$B$33:$B$37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Sensitivity'!$F$33:$F$37</c:f>
              <c:numCache>
                <c:formatCode>0.0%</c:formatCode>
                <c:ptCount val="5"/>
                <c:pt idx="0">
                  <c:v>0.17507133182968537</c:v>
                </c:pt>
                <c:pt idx="1">
                  <c:v>-0.28300595202271772</c:v>
                </c:pt>
                <c:pt idx="2">
                  <c:v>0.15995703485556967</c:v>
                </c:pt>
                <c:pt idx="3">
                  <c:v>0</c:v>
                </c:pt>
                <c:pt idx="4">
                  <c:v>6.6224497573102364E-2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96-4F76-82BA-39AFD0352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4290495"/>
        <c:axId val="332010319"/>
      </c:barChart>
      <c:catAx>
        <c:axId val="42904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332010319"/>
        <c:crosses val="autoZero"/>
        <c:auto val="1"/>
        <c:lblAlgn val="ctr"/>
        <c:lblOffset val="100"/>
        <c:noMultiLvlLbl val="0"/>
      </c:catAx>
      <c:valAx>
        <c:axId val="332010319"/>
        <c:scaling>
          <c:orientation val="minMax"/>
          <c:max val="0.4"/>
          <c:min val="-0.4"/>
        </c:scaling>
        <c:delete val="0"/>
        <c:axPos val="t"/>
        <c:majorGridlines>
          <c:spPr>
            <a:ln w="9525" cap="flat" cmpd="sng" algn="ctr">
              <a:solidFill>
                <a:sysClr val="window" lastClr="FFFFFF">
                  <a:lumMod val="85000"/>
                </a:sys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 b="1" i="0" dirty="0"/>
                  <a:t>Case 5_FH</a:t>
                </a:r>
              </a:p>
              <a:p>
                <a:pPr algn="ctr">
                  <a:defRPr b="1"/>
                </a:pPr>
                <a:r>
                  <a:rPr lang="en-US" b="1" i="0" dirty="0"/>
                  <a:t>0.634 $/kg</a:t>
                </a:r>
              </a:p>
            </c:rich>
          </c:tx>
          <c:layout>
            <c:manualLayout>
              <c:xMode val="edge"/>
              <c:yMode val="edge"/>
              <c:x val="0.59692411651791588"/>
              <c:y val="7.3770213014071363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0%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4290495"/>
        <c:crosses val="autoZero"/>
        <c:crossBetween val="between"/>
        <c:maj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80824767850111567"/>
          <c:y val="7.1047408264013082E-2"/>
          <c:w val="0.14295253092524052"/>
          <c:h val="0.16889588840083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4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043066215527813"/>
          <c:y val="0.25344796638443357"/>
          <c:w val="0.60349583695012698"/>
          <c:h val="0.615883097812402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'5. Sensitivity'!$E$14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5B-4104-8902-61BB2A6DDA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Sensitivity'!$B$42:$B$46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Sensitivity'!$E$42:$E$46</c:f>
              <c:numCache>
                <c:formatCode>0.0%</c:formatCode>
                <c:ptCount val="5"/>
                <c:pt idx="0">
                  <c:v>-3.7864893033193181E-2</c:v>
                </c:pt>
                <c:pt idx="1">
                  <c:v>0.10209271173700657</c:v>
                </c:pt>
                <c:pt idx="2">
                  <c:v>0</c:v>
                </c:pt>
                <c:pt idx="3">
                  <c:v>-0.23400053309774579</c:v>
                </c:pt>
                <c:pt idx="4">
                  <c:v>-2.2573240005951116E-2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5B-4104-8902-61BB2A6DDA51}"/>
            </c:ext>
          </c:extLst>
        </c:ser>
        <c:ser>
          <c:idx val="1"/>
          <c:order val="1"/>
          <c:tx>
            <c:strRef>
              <c:f>'5. Sensitivity'!$F$14</c:f>
              <c:strCache>
                <c:ptCount val="1"/>
                <c:pt idx="0">
                  <c:v>+20%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5B-4104-8902-61BB2A6DDA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Sensitivity'!$B$42:$B$46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Sensitivity'!$F$42:$F$46</c:f>
              <c:numCache>
                <c:formatCode>0.0%</c:formatCode>
                <c:ptCount val="5"/>
                <c:pt idx="0">
                  <c:v>3.7864893033193181E-2</c:v>
                </c:pt>
                <c:pt idx="1">
                  <c:v>-0.10209271173700644</c:v>
                </c:pt>
                <c:pt idx="2">
                  <c:v>0</c:v>
                </c:pt>
                <c:pt idx="3">
                  <c:v>0.23400053309774541</c:v>
                </c:pt>
                <c:pt idx="4">
                  <c:v>2.3761203981325155E-2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5B-4104-8902-61BB2A6DD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4290495"/>
        <c:axId val="332010319"/>
      </c:barChart>
      <c:catAx>
        <c:axId val="42904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332010319"/>
        <c:crosses val="autoZero"/>
        <c:auto val="1"/>
        <c:lblAlgn val="ctr"/>
        <c:lblOffset val="100"/>
        <c:noMultiLvlLbl val="0"/>
      </c:catAx>
      <c:valAx>
        <c:axId val="332010319"/>
        <c:scaling>
          <c:orientation val="minMax"/>
          <c:max val="0.4"/>
          <c:min val="-0.4"/>
        </c:scaling>
        <c:delete val="0"/>
        <c:axPos val="t"/>
        <c:majorGridlines>
          <c:spPr>
            <a:ln w="9525" cap="flat" cmpd="sng" algn="ctr">
              <a:solidFill>
                <a:sysClr val="window" lastClr="FFFFFF">
                  <a:lumMod val="85000"/>
                </a:sys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 b="1" i="0" dirty="0"/>
                  <a:t>Case 5_efurnace</a:t>
                </a:r>
              </a:p>
              <a:p>
                <a:pPr algn="ctr">
                  <a:defRPr b="1"/>
                </a:pPr>
                <a:r>
                  <a:rPr lang="en-US" b="1" i="0" dirty="0"/>
                  <a:t>1.757 $/kg</a:t>
                </a:r>
              </a:p>
            </c:rich>
          </c:tx>
          <c:layout>
            <c:manualLayout>
              <c:xMode val="edge"/>
              <c:yMode val="edge"/>
              <c:x val="0.56436776069694183"/>
              <c:y val="7.3770213014071363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0%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4290495"/>
        <c:crosses val="autoZero"/>
        <c:crossBetween val="between"/>
        <c:maj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80824767850111567"/>
          <c:y val="7.1047408264013082E-2"/>
          <c:w val="0.14295253092524052"/>
          <c:h val="0.16889588840083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4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043066215527813"/>
          <c:y val="0.25344796638443357"/>
          <c:w val="0.60349583695012698"/>
          <c:h val="0.615883097812402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'5. Sensitivity'!$E$14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6.662773575928539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DC-4076-89A8-1E0B9B67293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DC-4076-89A8-1E0B9B67293F}"/>
                </c:ext>
              </c:extLst>
            </c:dLbl>
            <c:dLbl>
              <c:idx val="4"/>
              <c:layout>
                <c:manualLayout>
                  <c:x val="-3.535312623047643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DC-4076-89A8-1E0B9B6729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Sensitivity'!$B$24:$B$28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Sensitivity'!$E$24:$E$28</c:f>
              <c:numCache>
                <c:formatCode>0.0%</c:formatCode>
                <c:ptCount val="5"/>
                <c:pt idx="0">
                  <c:v>-9.758599928889293E-2</c:v>
                </c:pt>
                <c:pt idx="1">
                  <c:v>0.27304507278519724</c:v>
                </c:pt>
                <c:pt idx="2">
                  <c:v>0</c:v>
                </c:pt>
                <c:pt idx="3">
                  <c:v>-0.34855149614689684</c:v>
                </c:pt>
                <c:pt idx="4">
                  <c:v>-4.2128444247125182E-2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DC-4076-89A8-1E0B9B67293F}"/>
            </c:ext>
          </c:extLst>
        </c:ser>
        <c:ser>
          <c:idx val="1"/>
          <c:order val="1"/>
          <c:tx>
            <c:strRef>
              <c:f>'5. Sensitivity'!$F$14</c:f>
              <c:strCache>
                <c:ptCount val="1"/>
                <c:pt idx="0">
                  <c:v>+20%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9184091580261074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DC-4076-89A8-1E0B9B67293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DC-4076-89A8-1E0B9B67293F}"/>
                </c:ext>
              </c:extLst>
            </c:dLbl>
            <c:dLbl>
              <c:idx val="4"/>
              <c:layout>
                <c:manualLayout>
                  <c:x val="-1.8364860874131657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DC-4076-89A8-1E0B9B6729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Sensitivity'!$B$24:$B$28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Sensitivity'!$F$24:$F$28</c:f>
              <c:numCache>
                <c:formatCode>0.0%</c:formatCode>
                <c:ptCount val="5"/>
                <c:pt idx="0">
                  <c:v>9.7585999288892764E-2</c:v>
                </c:pt>
                <c:pt idx="1">
                  <c:v>-0.27304507278519707</c:v>
                </c:pt>
                <c:pt idx="2">
                  <c:v>0</c:v>
                </c:pt>
                <c:pt idx="3">
                  <c:v>0.34855149614689601</c:v>
                </c:pt>
                <c:pt idx="4">
                  <c:v>4.4345541752443506E-2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EDC-4076-89A8-1E0B9B672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4290495"/>
        <c:axId val="332010319"/>
      </c:barChart>
      <c:catAx>
        <c:axId val="42904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332010319"/>
        <c:crosses val="autoZero"/>
        <c:auto val="1"/>
        <c:lblAlgn val="ctr"/>
        <c:lblOffset val="100"/>
        <c:noMultiLvlLbl val="0"/>
      </c:catAx>
      <c:valAx>
        <c:axId val="332010319"/>
        <c:scaling>
          <c:orientation val="minMax"/>
          <c:max val="0.4"/>
          <c:min val="-0.4"/>
        </c:scaling>
        <c:delete val="0"/>
        <c:axPos val="t"/>
        <c:majorGridlines>
          <c:spPr>
            <a:ln w="9525" cap="flat" cmpd="sng" algn="ctr">
              <a:solidFill>
                <a:sysClr val="window" lastClr="FFFFFF">
                  <a:lumMod val="85000"/>
                </a:sys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 b="1" i="0" dirty="0"/>
                  <a:t>Case 4_efurnace</a:t>
                </a:r>
              </a:p>
              <a:p>
                <a:pPr>
                  <a:defRPr b="1"/>
                </a:pPr>
                <a:r>
                  <a:rPr lang="en-US" b="1" i="0" dirty="0"/>
                  <a:t>0.726 $/kg</a:t>
                </a:r>
              </a:p>
            </c:rich>
          </c:tx>
          <c:layout>
            <c:manualLayout>
              <c:xMode val="edge"/>
              <c:yMode val="edge"/>
              <c:x val="0.55785648953274714"/>
              <c:y val="7.377094412286637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0%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4290495"/>
        <c:crosses val="autoZero"/>
        <c:crossBetween val="between"/>
        <c:maj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80499204291901827"/>
          <c:y val="5.562040834175544E-2"/>
          <c:w val="0.14295253092524052"/>
          <c:h val="0.16889588840083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4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043066215527813"/>
          <c:y val="0.25344796638443357"/>
          <c:w val="0.60349583695012698"/>
          <c:h val="0.615883097812402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'5. Sensitivity'!$E$14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6.662773575928539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E1C-431B-A02D-D2EE0B99772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1C-431B-A02D-D2EE0B99772B}"/>
                </c:ext>
              </c:extLst>
            </c:dLbl>
            <c:dLbl>
              <c:idx val="4"/>
              <c:layout>
                <c:manualLayout>
                  <c:x val="-3.535312623047643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E1C-431B-A02D-D2EE0B9977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Sensitivity'!$B$24:$B$28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Sensitivity'!$E$24:$E$28</c:f>
              <c:numCache>
                <c:formatCode>0.0%</c:formatCode>
                <c:ptCount val="5"/>
                <c:pt idx="0">
                  <c:v>-9.758599928889293E-2</c:v>
                </c:pt>
                <c:pt idx="1">
                  <c:v>0.27304507278519724</c:v>
                </c:pt>
                <c:pt idx="2">
                  <c:v>0</c:v>
                </c:pt>
                <c:pt idx="3">
                  <c:v>-0.34855149614689684</c:v>
                </c:pt>
                <c:pt idx="4">
                  <c:v>-4.2128444247125182E-2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1C-431B-A02D-D2EE0B99772B}"/>
            </c:ext>
          </c:extLst>
        </c:ser>
        <c:ser>
          <c:idx val="1"/>
          <c:order val="1"/>
          <c:tx>
            <c:strRef>
              <c:f>'5. Sensitivity'!$F$14</c:f>
              <c:strCache>
                <c:ptCount val="1"/>
                <c:pt idx="0">
                  <c:v>+20%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9184091580261074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E1C-431B-A02D-D2EE0B99772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1C-431B-A02D-D2EE0B99772B}"/>
                </c:ext>
              </c:extLst>
            </c:dLbl>
            <c:dLbl>
              <c:idx val="4"/>
              <c:layout>
                <c:manualLayout>
                  <c:x val="-1.8364860874131657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E1C-431B-A02D-D2EE0B9977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Sensitivity'!$B$24:$B$28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Sensitivity'!$F$24:$F$28</c:f>
              <c:numCache>
                <c:formatCode>0.0%</c:formatCode>
                <c:ptCount val="5"/>
                <c:pt idx="0">
                  <c:v>9.7585999288892764E-2</c:v>
                </c:pt>
                <c:pt idx="1">
                  <c:v>-0.27304507278519707</c:v>
                </c:pt>
                <c:pt idx="2">
                  <c:v>0</c:v>
                </c:pt>
                <c:pt idx="3">
                  <c:v>0.34855149614689601</c:v>
                </c:pt>
                <c:pt idx="4">
                  <c:v>4.4345541752443506E-2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E1C-431B-A02D-D2EE0B997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4290495"/>
        <c:axId val="332010319"/>
      </c:barChart>
      <c:catAx>
        <c:axId val="42904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332010319"/>
        <c:crosses val="autoZero"/>
        <c:auto val="1"/>
        <c:lblAlgn val="ctr"/>
        <c:lblOffset val="100"/>
        <c:noMultiLvlLbl val="0"/>
      </c:catAx>
      <c:valAx>
        <c:axId val="332010319"/>
        <c:scaling>
          <c:orientation val="minMax"/>
          <c:max val="0.4"/>
          <c:min val="-0.4"/>
        </c:scaling>
        <c:delete val="0"/>
        <c:axPos val="t"/>
        <c:majorGridlines>
          <c:spPr>
            <a:ln w="9525" cap="flat" cmpd="sng" algn="ctr">
              <a:solidFill>
                <a:sysClr val="window" lastClr="FFFFFF">
                  <a:lumMod val="85000"/>
                </a:sys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 b="1" i="0" dirty="0"/>
                  <a:t>Case 4_efurnace</a:t>
                </a:r>
              </a:p>
              <a:p>
                <a:pPr>
                  <a:defRPr b="1"/>
                </a:pPr>
                <a:r>
                  <a:rPr lang="en-US" b="1" i="0" dirty="0"/>
                  <a:t>0.726 $/kg</a:t>
                </a:r>
              </a:p>
            </c:rich>
          </c:tx>
          <c:layout>
            <c:manualLayout>
              <c:xMode val="edge"/>
              <c:yMode val="edge"/>
              <c:x val="0.55785648953274714"/>
              <c:y val="7.377094412286637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0%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4290495"/>
        <c:crosses val="autoZero"/>
        <c:crossBetween val="between"/>
        <c:maj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80499204291901827"/>
          <c:y val="5.562040834175544E-2"/>
          <c:w val="0.14295253092524052"/>
          <c:h val="0.16889588840083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4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043066215527813"/>
          <c:y val="0.25344796638443357"/>
          <c:w val="0.60349583695012698"/>
          <c:h val="0.615883097812402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'5. Sensitivity'!$E$14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66-4954-94D4-3A83A41ACAE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66-4954-94D4-3A83A41ACA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Sensitivity'!$B$33:$B$37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Sensitivity'!$E$33:$E$37</c:f>
              <c:numCache>
                <c:formatCode>0.0%</c:formatCode>
                <c:ptCount val="5"/>
                <c:pt idx="0">
                  <c:v>-0.17507133182968554</c:v>
                </c:pt>
                <c:pt idx="1">
                  <c:v>0.28300595202271805</c:v>
                </c:pt>
                <c:pt idx="2">
                  <c:v>-0.15995703485556897</c:v>
                </c:pt>
                <c:pt idx="3">
                  <c:v>0</c:v>
                </c:pt>
                <c:pt idx="4">
                  <c:v>-6.2913540878065902E-2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66-4954-94D4-3A83A41ACAE5}"/>
            </c:ext>
          </c:extLst>
        </c:ser>
        <c:ser>
          <c:idx val="1"/>
          <c:order val="1"/>
          <c:tx>
            <c:strRef>
              <c:f>'5. Sensitivity'!$F$14</c:f>
              <c:strCache>
                <c:ptCount val="1"/>
                <c:pt idx="0">
                  <c:v>+20%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66-4954-94D4-3A83A41ACAE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66-4954-94D4-3A83A41ACA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Sensitivity'!$B$33:$B$37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Sensitivity'!$F$33:$F$37</c:f>
              <c:numCache>
                <c:formatCode>0.0%</c:formatCode>
                <c:ptCount val="5"/>
                <c:pt idx="0">
                  <c:v>0.17507133182968537</c:v>
                </c:pt>
                <c:pt idx="1">
                  <c:v>-0.28300595202271772</c:v>
                </c:pt>
                <c:pt idx="2">
                  <c:v>0.15995703485556967</c:v>
                </c:pt>
                <c:pt idx="3">
                  <c:v>0</c:v>
                </c:pt>
                <c:pt idx="4">
                  <c:v>6.6224497573102364E-2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66-4954-94D4-3A83A41AC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4290495"/>
        <c:axId val="332010319"/>
      </c:barChart>
      <c:catAx>
        <c:axId val="42904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332010319"/>
        <c:crosses val="autoZero"/>
        <c:auto val="1"/>
        <c:lblAlgn val="ctr"/>
        <c:lblOffset val="100"/>
        <c:noMultiLvlLbl val="0"/>
      </c:catAx>
      <c:valAx>
        <c:axId val="332010319"/>
        <c:scaling>
          <c:orientation val="minMax"/>
          <c:max val="0.4"/>
          <c:min val="-0.4"/>
        </c:scaling>
        <c:delete val="0"/>
        <c:axPos val="t"/>
        <c:majorGridlines>
          <c:spPr>
            <a:ln w="9525" cap="flat" cmpd="sng" algn="ctr">
              <a:solidFill>
                <a:sysClr val="window" lastClr="FFFFFF">
                  <a:lumMod val="85000"/>
                </a:sys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 b="1" i="0" dirty="0"/>
                  <a:t>Case 5_FH</a:t>
                </a:r>
              </a:p>
              <a:p>
                <a:pPr algn="ctr">
                  <a:defRPr b="1"/>
                </a:pPr>
                <a:r>
                  <a:rPr lang="en-US" b="1" i="0" dirty="0"/>
                  <a:t>0.634 $/kg</a:t>
                </a:r>
              </a:p>
            </c:rich>
          </c:tx>
          <c:layout>
            <c:manualLayout>
              <c:xMode val="edge"/>
              <c:yMode val="edge"/>
              <c:x val="0.59692411651791588"/>
              <c:y val="7.3770213014071363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0%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4290495"/>
        <c:crosses val="autoZero"/>
        <c:crossBetween val="between"/>
        <c:maj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80824767850111567"/>
          <c:y val="7.1047408264013082E-2"/>
          <c:w val="0.14295253092524052"/>
          <c:h val="0.16889588840083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4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043066215527813"/>
          <c:y val="0.25344796638443357"/>
          <c:w val="0.60349583695012698"/>
          <c:h val="0.615883097812402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'5. Sensitivity'!$E$14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CD5-4E90-9900-9668C87CBC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Sensitivity'!$B$42:$B$46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Sensitivity'!$E$42:$E$46</c:f>
              <c:numCache>
                <c:formatCode>0.0%</c:formatCode>
                <c:ptCount val="5"/>
                <c:pt idx="0">
                  <c:v>-3.7864893033193181E-2</c:v>
                </c:pt>
                <c:pt idx="1">
                  <c:v>0.10209271173700657</c:v>
                </c:pt>
                <c:pt idx="2">
                  <c:v>0</c:v>
                </c:pt>
                <c:pt idx="3">
                  <c:v>-0.23400053309774579</c:v>
                </c:pt>
                <c:pt idx="4">
                  <c:v>-2.2573240005951116E-2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D5-4E90-9900-9668C87CBC1E}"/>
            </c:ext>
          </c:extLst>
        </c:ser>
        <c:ser>
          <c:idx val="1"/>
          <c:order val="1"/>
          <c:tx>
            <c:strRef>
              <c:f>'5. Sensitivity'!$F$14</c:f>
              <c:strCache>
                <c:ptCount val="1"/>
                <c:pt idx="0">
                  <c:v>+20%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D5-4E90-9900-9668C87CBC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Sensitivity'!$B$42:$B$46</c:f>
              <c:strCache>
                <c:ptCount val="5"/>
                <c:pt idx="0">
                  <c:v>Natural gas price ($/MMBTU) </c:v>
                </c:pt>
                <c:pt idx="1">
                  <c:v>By-product H2 price ($/kg)</c:v>
                </c:pt>
                <c:pt idx="2">
                  <c:v>Grid electricity ($/kWh)</c:v>
                </c:pt>
                <c:pt idx="3">
                  <c:v>Renewable electricity ($/kWh)</c:v>
                </c:pt>
                <c:pt idx="4">
                  <c:v>Interest rate (%)</c:v>
                </c:pt>
              </c:strCache>
            </c:strRef>
          </c:cat>
          <c:val>
            <c:numRef>
              <c:f>'5. Sensitivity'!$F$42:$F$46</c:f>
              <c:numCache>
                <c:formatCode>0.0%</c:formatCode>
                <c:ptCount val="5"/>
                <c:pt idx="0">
                  <c:v>3.7864893033193181E-2</c:v>
                </c:pt>
                <c:pt idx="1">
                  <c:v>-0.10209271173700644</c:v>
                </c:pt>
                <c:pt idx="2">
                  <c:v>0</c:v>
                </c:pt>
                <c:pt idx="3">
                  <c:v>0.23400053309774541</c:v>
                </c:pt>
                <c:pt idx="4">
                  <c:v>2.3761203981325155E-2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D5-4E90-9900-9668C87CB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4290495"/>
        <c:axId val="332010319"/>
      </c:barChart>
      <c:catAx>
        <c:axId val="42904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332010319"/>
        <c:crosses val="autoZero"/>
        <c:auto val="1"/>
        <c:lblAlgn val="ctr"/>
        <c:lblOffset val="100"/>
        <c:noMultiLvlLbl val="0"/>
      </c:catAx>
      <c:valAx>
        <c:axId val="332010319"/>
        <c:scaling>
          <c:orientation val="minMax"/>
          <c:max val="0.4"/>
          <c:min val="-0.4"/>
        </c:scaling>
        <c:delete val="0"/>
        <c:axPos val="t"/>
        <c:majorGridlines>
          <c:spPr>
            <a:ln w="9525" cap="flat" cmpd="sng" algn="ctr">
              <a:solidFill>
                <a:sysClr val="window" lastClr="FFFFFF">
                  <a:lumMod val="85000"/>
                </a:sys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 b="1" i="0" dirty="0"/>
                  <a:t>Case 5_efurnace</a:t>
                </a:r>
              </a:p>
              <a:p>
                <a:pPr algn="ctr">
                  <a:defRPr b="1"/>
                </a:pPr>
                <a:r>
                  <a:rPr lang="en-US" b="1" i="0" dirty="0"/>
                  <a:t>1.757 $/kg</a:t>
                </a:r>
              </a:p>
            </c:rich>
          </c:tx>
          <c:layout>
            <c:manualLayout>
              <c:xMode val="edge"/>
              <c:yMode val="edge"/>
              <c:x val="0.56436776069694183"/>
              <c:y val="7.3770213014071363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0%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4290495"/>
        <c:crosses val="autoZero"/>
        <c:crossBetween val="between"/>
        <c:maj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80824767850111567"/>
          <c:y val="7.1047408264013082E-2"/>
          <c:w val="0.14295253092524052"/>
          <c:h val="0.16889588840083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4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679998377817641"/>
          <c:y val="0.20928919248616831"/>
          <c:w val="0.77490874276698074"/>
          <c:h val="0.6119632869697683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'5. HEN_Worksheet_Case4'!$V$31</c:f>
              <c:strCache>
                <c:ptCount val="1"/>
                <c:pt idx="0">
                  <c:v>Catalytic conversion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F1-4213-8E6A-1D9E959995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'5. HEN_Worksheet_Case4'!$W$29:$Z$30</c:f>
              <c:multiLvlStrCache>
                <c:ptCount val="4"/>
                <c:lvl>
                  <c:pt idx="0">
                    <c:v>Before</c:v>
                  </c:pt>
                  <c:pt idx="1">
                    <c:v>After</c:v>
                  </c:pt>
                  <c:pt idx="2">
                    <c:v>Before</c:v>
                  </c:pt>
                  <c:pt idx="3">
                    <c:v>After</c:v>
                  </c:pt>
                </c:lvl>
                <c:lvl>
                  <c:pt idx="0">
                    <c:v>Heating requirement </c:v>
                  </c:pt>
                  <c:pt idx="2">
                    <c:v>Cooling requirement </c:v>
                  </c:pt>
                </c:lvl>
              </c:multiLvlStrCache>
            </c:multiLvlStrRef>
          </c:cat>
          <c:val>
            <c:numRef>
              <c:f>'5. HEN_Worksheet_Case4'!$W$31:$Z$31</c:f>
              <c:numCache>
                <c:formatCode>General</c:formatCode>
                <c:ptCount val="4"/>
                <c:pt idx="0" formatCode="0.0">
                  <c:v>754.27520798573892</c:v>
                </c:pt>
                <c:pt idx="1">
                  <c:v>0</c:v>
                </c:pt>
                <c:pt idx="2" formatCode="0.0">
                  <c:v>1549.9703906590319</c:v>
                </c:pt>
                <c:pt idx="3" formatCode="0.0">
                  <c:v>664.4372318062417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F1-4213-8E6A-1D9E959995DD}"/>
            </c:ext>
          </c:extLst>
        </c:ser>
        <c:ser>
          <c:idx val="1"/>
          <c:order val="1"/>
          <c:tx>
            <c:strRef>
              <c:f>'5. HEN_Worksheet_Case4'!$V$32</c:f>
              <c:strCache>
                <c:ptCount val="1"/>
                <c:pt idx="0">
                  <c:v>Compression and G/L separation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F1-4213-8E6A-1D9E959995DD}"/>
                </c:ext>
              </c:extLst>
            </c:dLbl>
            <c:dLbl>
              <c:idx val="3"/>
              <c:layout>
                <c:manualLayout>
                  <c:x val="-1.9462945310656236E-2"/>
                  <c:y val="4.3068881795422406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F1-4213-8E6A-1D9E959995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'5. HEN_Worksheet_Case4'!$W$29:$Z$30</c:f>
              <c:multiLvlStrCache>
                <c:ptCount val="4"/>
                <c:lvl>
                  <c:pt idx="0">
                    <c:v>Before</c:v>
                  </c:pt>
                  <c:pt idx="1">
                    <c:v>After</c:v>
                  </c:pt>
                  <c:pt idx="2">
                    <c:v>Before</c:v>
                  </c:pt>
                  <c:pt idx="3">
                    <c:v>After</c:v>
                  </c:pt>
                </c:lvl>
                <c:lvl>
                  <c:pt idx="0">
                    <c:v>Heating requirement </c:v>
                  </c:pt>
                  <c:pt idx="2">
                    <c:v>Cooling requirement </c:v>
                  </c:pt>
                </c:lvl>
              </c:multiLvlStrCache>
            </c:multiLvlStrRef>
          </c:cat>
          <c:val>
            <c:numRef>
              <c:f>'5. HEN_Worksheet_Case4'!$W$32:$Z$32</c:f>
              <c:numCache>
                <c:formatCode>0.0</c:formatCode>
                <c:ptCount val="4"/>
                <c:pt idx="0">
                  <c:v>20.121688031381886</c:v>
                </c:pt>
                <c:pt idx="1">
                  <c:v>5.2853942666530553</c:v>
                </c:pt>
                <c:pt idx="2">
                  <c:v>113.18510102160603</c:v>
                </c:pt>
                <c:pt idx="3">
                  <c:v>5.3389249558606764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F1-4213-8E6A-1D9E959995DD}"/>
            </c:ext>
          </c:extLst>
        </c:ser>
        <c:ser>
          <c:idx val="2"/>
          <c:order val="2"/>
          <c:tx>
            <c:strRef>
              <c:f>'5. HEN_Worksheet_Case4'!$V$33</c:f>
              <c:strCache>
                <c:ptCount val="1"/>
                <c:pt idx="0">
                  <c:v>Coldbox and cryogenic separation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F1-4213-8E6A-1D9E959995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'5. HEN_Worksheet_Case4'!$W$29:$Z$30</c:f>
              <c:multiLvlStrCache>
                <c:ptCount val="4"/>
                <c:lvl>
                  <c:pt idx="0">
                    <c:v>Before</c:v>
                  </c:pt>
                  <c:pt idx="1">
                    <c:v>After</c:v>
                  </c:pt>
                  <c:pt idx="2">
                    <c:v>Before</c:v>
                  </c:pt>
                  <c:pt idx="3">
                    <c:v>After</c:v>
                  </c:pt>
                </c:lvl>
                <c:lvl>
                  <c:pt idx="0">
                    <c:v>Heating requirement </c:v>
                  </c:pt>
                  <c:pt idx="2">
                    <c:v>Cooling requirement </c:v>
                  </c:pt>
                </c:lvl>
              </c:multiLvlStrCache>
            </c:multiLvlStrRef>
          </c:cat>
          <c:val>
            <c:numRef>
              <c:f>'5. HEN_Worksheet_Case4'!$W$33:$Z$33</c:f>
              <c:numCache>
                <c:formatCode>General</c:formatCode>
                <c:ptCount val="4"/>
                <c:pt idx="0" formatCode="0.0">
                  <c:v>287.97380208458731</c:v>
                </c:pt>
                <c:pt idx="1">
                  <c:v>0</c:v>
                </c:pt>
                <c:pt idx="2" formatCode="0.0">
                  <c:v>197.36731099534015</c:v>
                </c:pt>
                <c:pt idx="3" formatCode="0.0">
                  <c:v>148.49763584354946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F1-4213-8E6A-1D9E95999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021477440"/>
        <c:axId val="1021476192"/>
      </c:barChart>
      <c:catAx>
        <c:axId val="10214774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ko-KR"/>
          </a:p>
        </c:txPr>
        <c:crossAx val="1021476192"/>
        <c:crosses val="autoZero"/>
        <c:auto val="1"/>
        <c:lblAlgn val="ctr"/>
        <c:lblOffset val="100"/>
        <c:noMultiLvlLbl val="0"/>
      </c:catAx>
      <c:valAx>
        <c:axId val="102147619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GB" sz="1200" b="1"/>
                  <a:t>Energy requirement (MW)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ko-KR"/>
          </a:p>
        </c:txPr>
        <c:crossAx val="10214774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"/>
          <c:y val="0.84864001391986255"/>
          <c:w val="1"/>
          <c:h val="0.107601881142324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Garamond" panose="02020404030301010803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041454120560513"/>
          <c:y val="0.14676865114138862"/>
          <c:w val="0.69417041596800477"/>
          <c:h val="0.6203191048487359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'Previous_Economic Analysis'!$D$107</c:f>
              <c:strCache>
                <c:ptCount val="1"/>
                <c:pt idx="0">
                  <c:v>-20%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4.2045110413282703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8B-46E8-BEED-B168334399D3}"/>
                </c:ext>
              </c:extLst>
            </c:dLbl>
            <c:dLbl>
              <c:idx val="1"/>
              <c:layout>
                <c:manualLayout>
                  <c:x val="-6.1961215345890296E-2"/>
                  <c:y val="8.089419530384475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8B-46E8-BEED-B168334399D3}"/>
                </c:ext>
              </c:extLst>
            </c:dLbl>
            <c:dLbl>
              <c:idx val="2"/>
              <c:layout>
                <c:manualLayout>
                  <c:x val="3.7700855573564576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8B-46E8-BEED-B168334399D3}"/>
                </c:ext>
              </c:extLst>
            </c:dLbl>
            <c:dLbl>
              <c:idx val="3"/>
              <c:layout>
                <c:manualLayout>
                  <c:x val="-0.11064502740337552"/>
                  <c:y val="-4.412461625481375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8B-46E8-BEED-B168334399D3}"/>
                </c:ext>
              </c:extLst>
            </c:dLbl>
            <c:dLbl>
              <c:idx val="4"/>
              <c:layout>
                <c:manualLayout>
                  <c:x val="-0.16818044165313081"/>
                  <c:y val="4.0447097651922378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8B-46E8-BEED-B168334399D3}"/>
                </c:ext>
              </c:extLst>
            </c:dLbl>
            <c:dLbl>
              <c:idx val="5"/>
              <c:layout>
                <c:manualLayout>
                  <c:x val="-5.7535414249755355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8B-46E8-BEED-B168334399D3}"/>
                </c:ext>
              </c:extLst>
            </c:dLbl>
            <c:dLbl>
              <c:idx val="6"/>
              <c:layout>
                <c:manualLayout>
                  <c:x val="-5.3109613153620255E-2"/>
                  <c:y val="-2.0223548825961189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C8B-46E8-BEED-B168334399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Analysis'!$B$108:$B$114</c:f>
              <c:strCache>
                <c:ptCount val="7"/>
                <c:pt idx="0">
                  <c:v> Tax rate </c:v>
                </c:pt>
                <c:pt idx="1">
                  <c:v> Interest rate </c:v>
                </c:pt>
                <c:pt idx="2">
                  <c:v> Lifetime </c:v>
                </c:pt>
                <c:pt idx="3">
                  <c:v> Natural gas price </c:v>
                </c:pt>
                <c:pt idx="4">
                  <c:v> Electricity price </c:v>
                </c:pt>
                <c:pt idx="5">
                  <c:v> Cooling water price </c:v>
                </c:pt>
                <c:pt idx="6">
                  <c:v> Refrigeration price </c:v>
                </c:pt>
              </c:strCache>
            </c:strRef>
          </c:cat>
          <c:val>
            <c:numRef>
              <c:f>'Previous_Economic Analysis'!$H$108:$H$114</c:f>
              <c:numCache>
                <c:formatCode>0.00%</c:formatCode>
                <c:ptCount val="7"/>
                <c:pt idx="0">
                  <c:v>-7.0526162189727785E-3</c:v>
                </c:pt>
                <c:pt idx="1">
                  <c:v>-1.7048703391281304E-2</c:v>
                </c:pt>
                <c:pt idx="2">
                  <c:v>4.2272634806788867E-3</c:v>
                </c:pt>
                <c:pt idx="3">
                  <c:v>-4.5647388231714686E-2</c:v>
                </c:pt>
                <c:pt idx="4">
                  <c:v>-7.9617363454759796E-2</c:v>
                </c:pt>
                <c:pt idx="5">
                  <c:v>-1.4014280253364472E-2</c:v>
                </c:pt>
                <c:pt idx="6">
                  <c:v>-1.1868752680439E-2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8B-46E8-BEED-B168334399D3}"/>
            </c:ext>
          </c:extLst>
        </c:ser>
        <c:ser>
          <c:idx val="1"/>
          <c:order val="1"/>
          <c:tx>
            <c:strRef>
              <c:f>'Previous_Economic Analysis'!$E$107</c:f>
              <c:strCache>
                <c:ptCount val="1"/>
                <c:pt idx="0">
                  <c:v>20%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4.204511041328262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C8B-46E8-BEED-B168334399D3}"/>
                </c:ext>
              </c:extLst>
            </c:dLbl>
            <c:dLbl>
              <c:idx val="1"/>
              <c:layout>
                <c:manualLayout>
                  <c:x val="5.7535414249755196E-2"/>
                  <c:y val="4.412461625481294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8B-46E8-BEED-B168334399D3}"/>
                </c:ext>
              </c:extLst>
            </c:dLbl>
            <c:dLbl>
              <c:idx val="2"/>
              <c:layout>
                <c:manualLayout>
                  <c:x val="-3.7719673940430111E-2"/>
                  <c:y val="3.474379233471442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C8B-46E8-BEED-B168334399D3}"/>
                </c:ext>
              </c:extLst>
            </c:dLbl>
            <c:dLbl>
              <c:idx val="3"/>
              <c:layout>
                <c:manualLayout>
                  <c:x val="0.1084321268553080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C8B-46E8-BEED-B168334399D3}"/>
                </c:ext>
              </c:extLst>
            </c:dLbl>
            <c:dLbl>
              <c:idx val="4"/>
              <c:layout>
                <c:manualLayout>
                  <c:x val="0.16818044165313081"/>
                  <c:y val="-4.0447097651922378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C8B-46E8-BEED-B168334399D3}"/>
                </c:ext>
              </c:extLst>
            </c:dLbl>
            <c:dLbl>
              <c:idx val="5"/>
              <c:layout>
                <c:manualLayout>
                  <c:x val="5.5322513701687684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C8B-46E8-BEED-B168334399D3}"/>
                </c:ext>
              </c:extLst>
            </c:dLbl>
            <c:dLbl>
              <c:idx val="6"/>
              <c:layout>
                <c:manualLayout>
                  <c:x val="4.647091150941772E-2"/>
                  <c:y val="2.0223548825961189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C8B-46E8-BEED-B168334399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Analysis'!$B$108:$B$114</c:f>
              <c:strCache>
                <c:ptCount val="7"/>
                <c:pt idx="0">
                  <c:v> Tax rate </c:v>
                </c:pt>
                <c:pt idx="1">
                  <c:v> Interest rate </c:v>
                </c:pt>
                <c:pt idx="2">
                  <c:v> Lifetime </c:v>
                </c:pt>
                <c:pt idx="3">
                  <c:v> Natural gas price </c:v>
                </c:pt>
                <c:pt idx="4">
                  <c:v> Electricity price </c:v>
                </c:pt>
                <c:pt idx="5">
                  <c:v> Cooling water price </c:v>
                </c:pt>
                <c:pt idx="6">
                  <c:v> Refrigeration price </c:v>
                </c:pt>
              </c:strCache>
            </c:strRef>
          </c:cat>
          <c:val>
            <c:numRef>
              <c:f>'Previous_Economic Analysis'!$I$108:$I$114</c:f>
              <c:numCache>
                <c:formatCode>0.00%</c:formatCode>
                <c:ptCount val="7"/>
                <c:pt idx="0">
                  <c:v>8.7549718580353392E-3</c:v>
                </c:pt>
                <c:pt idx="1">
                  <c:v>1.7945927070750465E-2</c:v>
                </c:pt>
                <c:pt idx="2">
                  <c:v>-2.0108660048933453E-3</c:v>
                </c:pt>
                <c:pt idx="3">
                  <c:v>4.564738823171452E-2</c:v>
                </c:pt>
                <c:pt idx="4">
                  <c:v>7.9617363454759629E-2</c:v>
                </c:pt>
                <c:pt idx="5">
                  <c:v>1.4014280253364472E-2</c:v>
                </c:pt>
                <c:pt idx="6">
                  <c:v>1.1868752680439172E-2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C8B-46E8-BEED-B168334399D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9"/>
        <c:overlap val="100"/>
        <c:axId val="653778376"/>
        <c:axId val="653775240"/>
      </c:barChart>
      <c:catAx>
        <c:axId val="6537783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653775240"/>
        <c:crosses val="autoZero"/>
        <c:auto val="1"/>
        <c:lblAlgn val="ctr"/>
        <c:lblOffset val="100"/>
        <c:noMultiLvlLbl val="0"/>
      </c:catAx>
      <c:valAx>
        <c:axId val="653775240"/>
        <c:scaling>
          <c:orientation val="minMax"/>
          <c:max val="0.1"/>
          <c:min val="-0.1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Based Production</a:t>
                </a:r>
                <a:r>
                  <a:rPr lang="en-US" baseline="0"/>
                  <a:t> Cost</a:t>
                </a:r>
              </a:p>
              <a:p>
                <a:pPr>
                  <a:defRPr/>
                </a:pPr>
                <a:r>
                  <a:rPr lang="en-US" baseline="0"/>
                  <a:t>1,328 M$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6237150619517142"/>
              <c:y val="0.869035087719298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653778376"/>
        <c:crosses val="autoZero"/>
        <c:crossBetween val="between"/>
        <c:majorUnit val="2.0000000000000004E-2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81156082535187046"/>
          <c:y val="5.197455422992521E-2"/>
          <c:w val="0.15529875384525507"/>
          <c:h val="7.507612812363208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sz="1100">
          <a:latin typeface="+mn-lt"/>
          <a:cs typeface="Arial" panose="020B0604020202020204" pitchFamily="34" charset="0"/>
        </a:defRPr>
      </a:pPr>
      <a:endParaRPr lang="ko-KR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Production costs and Revenue Breakdown </a:t>
            </a:r>
          </a:p>
        </c:rich>
      </c:tx>
      <c:layout>
        <c:manualLayout>
          <c:xMode val="edge"/>
          <c:yMode val="edge"/>
          <c:x val="0.27745891456358923"/>
          <c:y val="2.65330857400263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6963892734178113"/>
          <c:y val="0.15139981631652177"/>
          <c:w val="0.79083623208982601"/>
          <c:h val="0.48143783914411514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'Previous_Economic Analysis'!$D$74</c:f>
              <c:strCache>
                <c:ptCount val="1"/>
                <c:pt idx="0">
                  <c:v>DC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Analysis'!$E$73:$F$73</c:f>
              <c:strCache>
                <c:ptCount val="2"/>
                <c:pt idx="0">
                  <c:v>Revenue</c:v>
                </c:pt>
                <c:pt idx="1">
                  <c:v>Production costs</c:v>
                </c:pt>
              </c:strCache>
            </c:strRef>
          </c:cat>
          <c:val>
            <c:numRef>
              <c:f>'Previous_Economic Analysis'!$E$74:$F$74</c:f>
              <c:numCache>
                <c:formatCode>0.0%</c:formatCode>
                <c:ptCount val="2"/>
                <c:pt idx="1">
                  <c:v>5.0844306743579738E-2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8-4A39-ABB8-AB6CF5D08A06}"/>
            </c:ext>
          </c:extLst>
        </c:ser>
        <c:ser>
          <c:idx val="1"/>
          <c:order val="1"/>
          <c:tx>
            <c:strRef>
              <c:f>'Previous_Economic Analysis'!$D$75</c:f>
              <c:strCache>
                <c:ptCount val="1"/>
                <c:pt idx="0">
                  <c:v>IDC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1269655343768822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A8-4A39-ABB8-AB6CF5D08A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Analysis'!$E$73:$F$73</c:f>
              <c:strCache>
                <c:ptCount val="2"/>
                <c:pt idx="0">
                  <c:v>Revenue</c:v>
                </c:pt>
                <c:pt idx="1">
                  <c:v>Production costs</c:v>
                </c:pt>
              </c:strCache>
            </c:strRef>
          </c:cat>
          <c:val>
            <c:numRef>
              <c:f>'Previous_Economic Analysis'!$E$75:$F$75</c:f>
              <c:numCache>
                <c:formatCode>0.0%</c:formatCode>
                <c:ptCount val="2"/>
                <c:pt idx="1">
                  <c:v>2.0337722697431889E-2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A8-4A39-ABB8-AB6CF5D08A06}"/>
            </c:ext>
          </c:extLst>
        </c:ser>
        <c:ser>
          <c:idx val="2"/>
          <c:order val="2"/>
          <c:tx>
            <c:strRef>
              <c:f>'Previous_Economic Analysis'!$D$76</c:f>
              <c:strCache>
                <c:ptCount val="1"/>
                <c:pt idx="0">
                  <c:v>VOC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Analysis'!$E$73:$F$73</c:f>
              <c:strCache>
                <c:ptCount val="2"/>
                <c:pt idx="0">
                  <c:v>Revenue</c:v>
                </c:pt>
                <c:pt idx="1">
                  <c:v>Production costs</c:v>
                </c:pt>
              </c:strCache>
            </c:strRef>
          </c:cat>
          <c:val>
            <c:numRef>
              <c:f>'Previous_Economic Analysis'!$E$76:$F$76</c:f>
              <c:numCache>
                <c:formatCode>0.0%</c:formatCode>
                <c:ptCount val="2"/>
                <c:pt idx="1">
                  <c:v>0.88092984264367535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A8-4A39-ABB8-AB6CF5D08A06}"/>
            </c:ext>
          </c:extLst>
        </c:ser>
        <c:ser>
          <c:idx val="3"/>
          <c:order val="3"/>
          <c:tx>
            <c:strRef>
              <c:f>'Previous_Economic Analysis'!$D$77</c:f>
              <c:strCache>
                <c:ptCount val="1"/>
                <c:pt idx="0">
                  <c:v>FOC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9.3913794531407142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FA8-4A39-ABB8-AB6CF5D08A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Analysis'!$E$73:$F$73</c:f>
              <c:strCache>
                <c:ptCount val="2"/>
                <c:pt idx="0">
                  <c:v>Revenue</c:v>
                </c:pt>
                <c:pt idx="1">
                  <c:v>Production costs</c:v>
                </c:pt>
              </c:strCache>
            </c:strRef>
          </c:cat>
          <c:val>
            <c:numRef>
              <c:f>'Previous_Economic Analysis'!$E$77:$F$77</c:f>
              <c:numCache>
                <c:formatCode>0.0%</c:formatCode>
                <c:ptCount val="2"/>
                <c:pt idx="1">
                  <c:v>2.3942581440914951E-2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A8-4A39-ABB8-AB6CF5D08A06}"/>
            </c:ext>
          </c:extLst>
        </c:ser>
        <c:ser>
          <c:idx val="4"/>
          <c:order val="4"/>
          <c:tx>
            <c:strRef>
              <c:f>'Previous_Economic Analysis'!$D$78</c:f>
              <c:strCache>
                <c:ptCount val="1"/>
                <c:pt idx="0">
                  <c:v>Tax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314793123439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FA8-4A39-ABB8-AB6CF5D08A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Analysis'!$E$73:$F$73</c:f>
              <c:strCache>
                <c:ptCount val="2"/>
                <c:pt idx="0">
                  <c:v>Revenue</c:v>
                </c:pt>
                <c:pt idx="1">
                  <c:v>Production costs</c:v>
                </c:pt>
              </c:strCache>
            </c:strRef>
          </c:cat>
          <c:val>
            <c:numRef>
              <c:f>'Previous_Economic Analysis'!$E$78:$F$78</c:f>
              <c:numCache>
                <c:formatCode>0.0%</c:formatCode>
                <c:ptCount val="2"/>
                <c:pt idx="1">
                  <c:v>2.3945546474397988E-2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FA8-4A39-ABB8-AB6CF5D08A06}"/>
            </c:ext>
          </c:extLst>
        </c:ser>
        <c:ser>
          <c:idx val="5"/>
          <c:order val="5"/>
          <c:tx>
            <c:strRef>
              <c:f>'Previous_Economic Analysis'!$D$79</c:f>
              <c:strCache>
                <c:ptCount val="1"/>
                <c:pt idx="0">
                  <c:v>Ethylene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Analysis'!$E$73:$F$73</c:f>
              <c:strCache>
                <c:ptCount val="2"/>
                <c:pt idx="0">
                  <c:v>Revenue</c:v>
                </c:pt>
                <c:pt idx="1">
                  <c:v>Production costs</c:v>
                </c:pt>
              </c:strCache>
            </c:strRef>
          </c:cat>
          <c:val>
            <c:numRef>
              <c:f>'Previous_Economic Analysis'!$E$79:$F$79</c:f>
              <c:numCache>
                <c:formatCode>0.0%</c:formatCode>
                <c:ptCount val="2"/>
                <c:pt idx="0">
                  <c:v>0.32611549431627562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A8-4A39-ABB8-AB6CF5D08A06}"/>
            </c:ext>
          </c:extLst>
        </c:ser>
        <c:ser>
          <c:idx val="13"/>
          <c:order val="6"/>
          <c:tx>
            <c:strRef>
              <c:f>'Previous_Economic Analysis'!$D$83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Analysis'!$E$73:$F$73</c:f>
              <c:strCache>
                <c:ptCount val="2"/>
                <c:pt idx="0">
                  <c:v>Revenue</c:v>
                </c:pt>
                <c:pt idx="1">
                  <c:v>Production costs</c:v>
                </c:pt>
              </c:strCache>
            </c:strRef>
          </c:cat>
          <c:val>
            <c:numRef>
              <c:f>'Previous_Economic Analysis'!$E$83:$F$83</c:f>
              <c:numCache>
                <c:formatCode>0.0%</c:formatCode>
                <c:ptCount val="2"/>
                <c:pt idx="0">
                  <c:v>0.37575582140826275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FA8-4A39-ABB8-AB6CF5D08A06}"/>
            </c:ext>
          </c:extLst>
        </c:ser>
        <c:ser>
          <c:idx val="8"/>
          <c:order val="7"/>
          <c:tx>
            <c:strRef>
              <c:f>'Previous_Economic Analysis'!$D$82</c:f>
              <c:strCache>
                <c:ptCount val="1"/>
                <c:pt idx="0">
                  <c:v>Raw Acethylene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Analysis'!$E$73:$F$73</c:f>
              <c:strCache>
                <c:ptCount val="2"/>
                <c:pt idx="0">
                  <c:v>Revenue</c:v>
                </c:pt>
                <c:pt idx="1">
                  <c:v>Production costs</c:v>
                </c:pt>
              </c:strCache>
            </c:strRef>
          </c:cat>
          <c:val>
            <c:numRef>
              <c:f>'Previous_Economic Analysis'!$E$82:$F$82</c:f>
              <c:numCache>
                <c:formatCode>0.0%</c:formatCode>
                <c:ptCount val="2"/>
                <c:pt idx="0">
                  <c:v>0.24655269430004786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A8-4A39-ABB8-AB6CF5D08A06}"/>
            </c:ext>
          </c:extLst>
        </c:ser>
        <c:ser>
          <c:idx val="7"/>
          <c:order val="8"/>
          <c:tx>
            <c:strRef>
              <c:f>'Previous_Economic Analysis'!$D$81</c:f>
              <c:strCache>
                <c:ptCount val="1"/>
                <c:pt idx="0">
                  <c:v>Benzene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'Previous_Economic Analysis'!$E$73:$F$73</c:f>
              <c:strCache>
                <c:ptCount val="2"/>
                <c:pt idx="0">
                  <c:v>Revenue</c:v>
                </c:pt>
                <c:pt idx="1">
                  <c:v>Production costs</c:v>
                </c:pt>
              </c:strCache>
            </c:strRef>
          </c:cat>
          <c:val>
            <c:numRef>
              <c:f>'Previous_Economic Analysis'!$E$81:$F$81</c:f>
              <c:numCache>
                <c:formatCode>0.0%</c:formatCode>
                <c:ptCount val="2"/>
                <c:pt idx="0">
                  <c:v>3.9962299115360013E-2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FA8-4A39-ABB8-AB6CF5D08A06}"/>
            </c:ext>
          </c:extLst>
        </c:ser>
        <c:ser>
          <c:idx val="6"/>
          <c:order val="9"/>
          <c:tx>
            <c:strRef>
              <c:f>'Previous_Economic Analysis'!$D$80</c:f>
              <c:strCache>
                <c:ptCount val="1"/>
                <c:pt idx="0">
                  <c:v>Crude Naphthalene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'Previous_Economic Analysis'!$E$73:$F$73</c:f>
              <c:strCache>
                <c:ptCount val="2"/>
                <c:pt idx="0">
                  <c:v>Revenue</c:v>
                </c:pt>
                <c:pt idx="1">
                  <c:v>Production costs</c:v>
                </c:pt>
              </c:strCache>
            </c:strRef>
          </c:cat>
          <c:val>
            <c:numRef>
              <c:f>'Previous_Economic Analysis'!$E$80:$F$80</c:f>
              <c:numCache>
                <c:formatCode>0.0%</c:formatCode>
                <c:ptCount val="2"/>
                <c:pt idx="0">
                  <c:v>1.161369086005384E-2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FA8-4A39-ABB8-AB6CF5D08A0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53776024"/>
        <c:axId val="653772496"/>
      </c:barChart>
      <c:catAx>
        <c:axId val="653776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3772496"/>
        <c:crosses val="autoZero"/>
        <c:auto val="1"/>
        <c:lblAlgn val="ctr"/>
        <c:lblOffset val="100"/>
        <c:noMultiLvlLbl val="0"/>
      </c:catAx>
      <c:valAx>
        <c:axId val="65377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3776024"/>
        <c:crosses val="autoZero"/>
        <c:crossBetween val="between"/>
        <c:majorUnit val="0.1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732223624028733"/>
          <c:y val="0.74572991270642797"/>
          <c:w val="0.75415203701631728"/>
          <c:h val="0.229815948912031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 b="1">
          <a:solidFill>
            <a:sysClr val="windowText" lastClr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Variable operating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F0-4555-99B4-E71BD85FDF9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F0-4555-99B4-E71BD85FDF9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F0-4555-99B4-E71BD85FDF94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F0-4555-99B4-E71BD85FDF94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F0-4555-99B4-E71BD85FDF94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F0-4555-99B4-E71BD85FDF94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9F0-4555-99B4-E71BD85FDF94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9F0-4555-99B4-E71BD85FDF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'Previous_Economic Analysis'!$D$86:$D$93</c:f>
              <c:strCache>
                <c:ptCount val="8"/>
                <c:pt idx="0">
                  <c:v>Raw material_NG</c:v>
                </c:pt>
                <c:pt idx="1">
                  <c:v>Refrigeration</c:v>
                </c:pt>
                <c:pt idx="2">
                  <c:v>Electricity</c:v>
                </c:pt>
                <c:pt idx="3">
                  <c:v>Cooling water</c:v>
                </c:pt>
                <c:pt idx="4">
                  <c:v>High pressure steam</c:v>
                </c:pt>
                <c:pt idx="5">
                  <c:v>Low pressure steam</c:v>
                </c:pt>
                <c:pt idx="6">
                  <c:v>Fuel_NG</c:v>
                </c:pt>
                <c:pt idx="7">
                  <c:v>Other</c:v>
                </c:pt>
              </c:strCache>
            </c:strRef>
          </c:cat>
          <c:val>
            <c:numRef>
              <c:f>'Previous_Economic Analysis'!$F$86:$F$93</c:f>
              <c:numCache>
                <c:formatCode>0.0%</c:formatCode>
                <c:ptCount val="8"/>
                <c:pt idx="0">
                  <c:v>0.24435240404730246</c:v>
                </c:pt>
                <c:pt idx="1">
                  <c:v>6.9569660112559953E-2</c:v>
                </c:pt>
                <c:pt idx="2">
                  <c:v>0.46668365781473442</c:v>
                </c:pt>
                <c:pt idx="3">
                  <c:v>8.214584465607476E-2</c:v>
                </c:pt>
                <c:pt idx="4">
                  <c:v>4.6146158062746763E-4</c:v>
                </c:pt>
                <c:pt idx="5">
                  <c:v>9.7183943491971E-3</c:v>
                </c:pt>
                <c:pt idx="6">
                  <c:v>0.11551036410253267</c:v>
                </c:pt>
                <c:pt idx="7">
                  <c:v>1.1558213336971268E-2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9F0-4555-99B4-E71BD85FDF9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13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3">
      <a:schemeClr val="dk1"/>
    </cs:effectRef>
    <cs:fontRef idx="minor">
      <a:schemeClr val="tx1"/>
    </cs:fontRef>
  </cs:dataPoint>
  <cs:dataPoint3D>
    <cs:lnRef idx="0"/>
    <cs:fillRef idx="1">
      <cs:styleClr val="auto"/>
    </cs:fillRef>
    <cs:effectRef idx="3">
      <a:schemeClr val="dk1"/>
    </cs:effectRef>
    <cs:fontRef idx="minor">
      <a:schemeClr val="tx1"/>
    </cs:fontRef>
  </cs:dataPoint3D>
  <cs:dataPointLine>
    <cs:lnRef idx="1">
      <cs:styleClr val="auto"/>
    </cs:lnRef>
    <cs:lineWidthScale>7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3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 mods="ignoreCSTransforms">
      <cs:styleClr val="0">
        <a:shade val="25000"/>
      </cs:styleClr>
    </cs:fillRef>
    <cs:effectRef idx="3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 mods="ignoreCSTransforms">
      <cs:styleClr val="0">
        <a:tint val="25000"/>
      </cs:styleClr>
    </cs:fillRef>
    <cs:effectRef idx="3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13.png"/><Relationship Id="rId7" Type="http://schemas.openxmlformats.org/officeDocument/2006/relationships/chart" Target="../charts/chart4.xml"/><Relationship Id="rId2" Type="http://schemas.openxmlformats.org/officeDocument/2006/relationships/image" Target="../media/image12.gif"/><Relationship Id="rId1" Type="http://schemas.openxmlformats.org/officeDocument/2006/relationships/image" Target="../media/image1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image" Target="../media/image15.png"/><Relationship Id="rId4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image" Target="../media/image13.png"/><Relationship Id="rId7" Type="http://schemas.openxmlformats.org/officeDocument/2006/relationships/chart" Target="../charts/chart13.xml"/><Relationship Id="rId12" Type="http://schemas.openxmlformats.org/officeDocument/2006/relationships/image" Target="../media/image18.png"/><Relationship Id="rId2" Type="http://schemas.openxmlformats.org/officeDocument/2006/relationships/image" Target="../media/image12.gif"/><Relationship Id="rId1" Type="http://schemas.openxmlformats.org/officeDocument/2006/relationships/image" Target="../media/image11.png"/><Relationship Id="rId6" Type="http://schemas.openxmlformats.org/officeDocument/2006/relationships/chart" Target="../charts/chart12.xml"/><Relationship Id="rId11" Type="http://schemas.openxmlformats.org/officeDocument/2006/relationships/image" Target="../media/image17.png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image" Target="../media/image16.png"/><Relationship Id="rId9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chart" Target="../charts/chart19.xml"/><Relationship Id="rId7" Type="http://schemas.openxmlformats.org/officeDocument/2006/relationships/image" Target="../media/image17.png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4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image" Target="../media/image19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image" Target="../media/image11.png"/><Relationship Id="rId4" Type="http://schemas.openxmlformats.org/officeDocument/2006/relationships/chart" Target="../charts/chart3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25</xdr:col>
      <xdr:colOff>611263</xdr:colOff>
      <xdr:row>34</xdr:row>
      <xdr:rowOff>103976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321" y="190500"/>
          <a:ext cx="16371428" cy="6390476"/>
        </a:xfrm>
        <a:prstGeom prst="rect">
          <a:avLst/>
        </a:prstGeom>
      </xdr:spPr>
    </xdr:pic>
    <xdr:clientData/>
  </xdr:twoCellAnchor>
  <xdr:twoCellAnchor editAs="oneCell">
    <xdr:from>
      <xdr:col>28</xdr:col>
      <xdr:colOff>489856</xdr:colOff>
      <xdr:row>2</xdr:row>
      <xdr:rowOff>136071</xdr:rowOff>
    </xdr:from>
    <xdr:to>
      <xdr:col>43</xdr:col>
      <xdr:colOff>266940</xdr:colOff>
      <xdr:row>31</xdr:row>
      <xdr:rowOff>163952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34856" y="517071"/>
          <a:ext cx="8961905" cy="5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8745</xdr:colOff>
      <xdr:row>130</xdr:row>
      <xdr:rowOff>144730</xdr:rowOff>
    </xdr:from>
    <xdr:to>
      <xdr:col>33</xdr:col>
      <xdr:colOff>25977</xdr:colOff>
      <xdr:row>170</xdr:row>
      <xdr:rowOff>185551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472" y="27178412"/>
          <a:ext cx="23396778" cy="8370866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3</xdr:col>
      <xdr:colOff>217713</xdr:colOff>
      <xdr:row>272</xdr:row>
      <xdr:rowOff>61012</xdr:rowOff>
    </xdr:from>
    <xdr:to>
      <xdr:col>28</xdr:col>
      <xdr:colOff>127535</xdr:colOff>
      <xdr:row>304</xdr:row>
      <xdr:rowOff>43542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8784" y="55618976"/>
          <a:ext cx="18153289" cy="6513959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5</xdr:col>
      <xdr:colOff>138546</xdr:colOff>
      <xdr:row>403</xdr:row>
      <xdr:rowOff>57930</xdr:rowOff>
    </xdr:from>
    <xdr:to>
      <xdr:col>36</xdr:col>
      <xdr:colOff>611702</xdr:colOff>
      <xdr:row>443</xdr:row>
      <xdr:rowOff>88316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9046" y="83895248"/>
          <a:ext cx="22605793" cy="8343113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4</xdr:col>
      <xdr:colOff>709985</xdr:colOff>
      <xdr:row>545</xdr:row>
      <xdr:rowOff>138545</xdr:rowOff>
    </xdr:from>
    <xdr:to>
      <xdr:col>21</xdr:col>
      <xdr:colOff>594371</xdr:colOff>
      <xdr:row>567</xdr:row>
      <xdr:rowOff>89085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40" y="113538000"/>
          <a:ext cx="12526658" cy="4522540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54</xdr:col>
      <xdr:colOff>599950</xdr:colOff>
      <xdr:row>9</xdr:row>
      <xdr:rowOff>38348</xdr:rowOff>
    </xdr:from>
    <xdr:to>
      <xdr:col>76</xdr:col>
      <xdr:colOff>89201</xdr:colOff>
      <xdr:row>29</xdr:row>
      <xdr:rowOff>113397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BC0E752-B76D-057B-0552-715761D8F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358041" y="1908712"/>
          <a:ext cx="15387342" cy="4231412"/>
        </a:xfrm>
        <a:prstGeom prst="rect">
          <a:avLst/>
        </a:prstGeom>
      </xdr:spPr>
    </xdr:pic>
    <xdr:clientData/>
  </xdr:twoCellAnchor>
  <xdr:twoCellAnchor editAs="oneCell">
    <xdr:from>
      <xdr:col>55</xdr:col>
      <xdr:colOff>870858</xdr:colOff>
      <xdr:row>149</xdr:row>
      <xdr:rowOff>95249</xdr:rowOff>
    </xdr:from>
    <xdr:to>
      <xdr:col>75</xdr:col>
      <xdr:colOff>546187</xdr:colOff>
      <xdr:row>167</xdr:row>
      <xdr:rowOff>60379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C4173494-7191-006B-B05F-26F9D3463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032215" y="30534428"/>
          <a:ext cx="13622651" cy="3639058"/>
        </a:xfrm>
        <a:prstGeom prst="rect">
          <a:avLst/>
        </a:prstGeom>
      </xdr:spPr>
    </xdr:pic>
    <xdr:clientData/>
  </xdr:twoCellAnchor>
  <xdr:twoCellAnchor editAs="oneCell">
    <xdr:from>
      <xdr:col>54</xdr:col>
      <xdr:colOff>612322</xdr:colOff>
      <xdr:row>280</xdr:row>
      <xdr:rowOff>122466</xdr:rowOff>
    </xdr:from>
    <xdr:to>
      <xdr:col>75</xdr:col>
      <xdr:colOff>134011</xdr:colOff>
      <xdr:row>302</xdr:row>
      <xdr:rowOff>14220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981CEEE-D2B7-2D0B-DC2F-B8F099C9A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53143" y="57313287"/>
          <a:ext cx="14489547" cy="4382112"/>
        </a:xfrm>
        <a:prstGeom prst="rect">
          <a:avLst/>
        </a:prstGeom>
      </xdr:spPr>
    </xdr:pic>
    <xdr:clientData/>
  </xdr:twoCellAnchor>
  <xdr:twoCellAnchor editAs="oneCell">
    <xdr:from>
      <xdr:col>4</xdr:col>
      <xdr:colOff>709985</xdr:colOff>
      <xdr:row>545</xdr:row>
      <xdr:rowOff>138545</xdr:rowOff>
    </xdr:from>
    <xdr:to>
      <xdr:col>24</xdr:col>
      <xdr:colOff>669605</xdr:colOff>
      <xdr:row>567</xdr:row>
      <xdr:rowOff>158236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649E4CA-25E7-F01A-3A16-09CA7088B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9940" y="113538000"/>
          <a:ext cx="14680074" cy="4591691"/>
        </a:xfrm>
        <a:prstGeom prst="rect">
          <a:avLst/>
        </a:prstGeom>
      </xdr:spPr>
    </xdr:pic>
    <xdr:clientData/>
  </xdr:twoCellAnchor>
  <xdr:twoCellAnchor editAs="oneCell">
    <xdr:from>
      <xdr:col>51</xdr:col>
      <xdr:colOff>571501</xdr:colOff>
      <xdr:row>406</xdr:row>
      <xdr:rowOff>34637</xdr:rowOff>
    </xdr:from>
    <xdr:to>
      <xdr:col>80</xdr:col>
      <xdr:colOff>577745</xdr:colOff>
      <xdr:row>438</xdr:row>
      <xdr:rowOff>142875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06892CD-B489-0C6C-A940-31ED6E559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337876" y="87045512"/>
          <a:ext cx="21532744" cy="6966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565966</xdr:colOff>
      <xdr:row>62</xdr:row>
      <xdr:rowOff>84719</xdr:rowOff>
    </xdr:from>
    <xdr:to>
      <xdr:col>26</xdr:col>
      <xdr:colOff>481153</xdr:colOff>
      <xdr:row>69</xdr:row>
      <xdr:rowOff>67110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31011" y="12242083"/>
          <a:ext cx="2980505" cy="135052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27</xdr:col>
      <xdr:colOff>26029</xdr:colOff>
      <xdr:row>62</xdr:row>
      <xdr:rowOff>30419</xdr:rowOff>
    </xdr:from>
    <xdr:to>
      <xdr:col>30</xdr:col>
      <xdr:colOff>1229470</xdr:colOff>
      <xdr:row>69</xdr:row>
      <xdr:rowOff>38584</xdr:rowOff>
    </xdr:to>
    <xdr:pic>
      <xdr:nvPicPr>
        <xdr:cNvPr id="6" name="Picture 5" descr="Ethylene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16394" y="12119842"/>
          <a:ext cx="3027845" cy="1356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1258660</xdr:colOff>
      <xdr:row>62</xdr:row>
      <xdr:rowOff>97371</xdr:rowOff>
    </xdr:from>
    <xdr:to>
      <xdr:col>35</xdr:col>
      <xdr:colOff>352404</xdr:colOff>
      <xdr:row>69</xdr:row>
      <xdr:rowOff>73881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238223" y="12098871"/>
          <a:ext cx="4665869" cy="1310010"/>
        </a:xfrm>
        <a:prstGeom prst="rect">
          <a:avLst/>
        </a:prstGeom>
      </xdr:spPr>
    </xdr:pic>
    <xdr:clientData/>
  </xdr:twoCellAnchor>
  <xdr:twoCellAnchor>
    <xdr:from>
      <xdr:col>9</xdr:col>
      <xdr:colOff>161685</xdr:colOff>
      <xdr:row>97</xdr:row>
      <xdr:rowOff>144877</xdr:rowOff>
    </xdr:from>
    <xdr:to>
      <xdr:col>12</xdr:col>
      <xdr:colOff>726566</xdr:colOff>
      <xdr:row>117</xdr:row>
      <xdr:rowOff>80460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726566</xdr:colOff>
      <xdr:row>97</xdr:row>
      <xdr:rowOff>144877</xdr:rowOff>
    </xdr:from>
    <xdr:to>
      <xdr:col>17</xdr:col>
      <xdr:colOff>271712</xdr:colOff>
      <xdr:row>117</xdr:row>
      <xdr:rowOff>80460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155864</xdr:colOff>
      <xdr:row>118</xdr:row>
      <xdr:rowOff>59377</xdr:rowOff>
    </xdr:from>
    <xdr:to>
      <xdr:col>14</xdr:col>
      <xdr:colOff>310091</xdr:colOff>
      <xdr:row>139</xdr:row>
      <xdr:rowOff>69423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27215</xdr:colOff>
      <xdr:row>16</xdr:row>
      <xdr:rowOff>122465</xdr:rowOff>
    </xdr:from>
    <xdr:to>
      <xdr:col>16</xdr:col>
      <xdr:colOff>920566</xdr:colOff>
      <xdr:row>37</xdr:row>
      <xdr:rowOff>148046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GrpSpPr/>
      </xdr:nvGrpSpPr>
      <xdr:grpSpPr>
        <a:xfrm>
          <a:off x="12382501" y="3551465"/>
          <a:ext cx="8186779" cy="4447902"/>
          <a:chOff x="927646" y="2437913"/>
          <a:chExt cx="7288708" cy="4148545"/>
        </a:xfrm>
      </xdr:grpSpPr>
      <xdr:graphicFrame macro="">
        <xdr:nvGraphicFramePr>
          <xdr:cNvPr id="29" name="Chart 28">
            <a:extLst>
              <a:ext uri="{FF2B5EF4-FFF2-40B4-BE49-F238E27FC236}">
                <a16:creationId xmlns:a16="http://schemas.microsoft.com/office/drawing/2014/main" id="{00000000-0008-0000-0700-00001D000000}"/>
              </a:ext>
            </a:extLst>
          </xdr:cNvPr>
          <xdr:cNvGraphicFramePr>
            <a:graphicFrameLocks/>
          </xdr:cNvGraphicFramePr>
        </xdr:nvGraphicFramePr>
        <xdr:xfrm>
          <a:off x="4904592" y="2454527"/>
          <a:ext cx="3311762" cy="413193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00000000-0008-0000-0700-00001E000000}"/>
              </a:ext>
            </a:extLst>
          </xdr:cNvPr>
          <xdr:cNvCxnSpPr>
            <a:cxnSpLocks/>
          </xdr:cNvCxnSpPr>
        </xdr:nvCxnSpPr>
        <xdr:spPr>
          <a:xfrm>
            <a:off x="6414621" y="2616143"/>
            <a:ext cx="1442847" cy="1137251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00000000-0008-0000-0700-00001F000000}"/>
              </a:ext>
            </a:extLst>
          </xdr:cNvPr>
          <xdr:cNvGrpSpPr/>
        </xdr:nvGrpSpPr>
        <xdr:grpSpPr>
          <a:xfrm>
            <a:off x="927646" y="2437913"/>
            <a:ext cx="3336503" cy="3814236"/>
            <a:chOff x="915276" y="2437913"/>
            <a:chExt cx="3336503" cy="3814236"/>
          </a:xfrm>
        </xdr:grpSpPr>
        <xdr:graphicFrame macro="">
          <xdr:nvGraphicFramePr>
            <xdr:cNvPr id="32" name="Chart 31">
              <a:extLst>
                <a:ext uri="{FF2B5EF4-FFF2-40B4-BE49-F238E27FC236}">
                  <a16:creationId xmlns:a16="http://schemas.microsoft.com/office/drawing/2014/main" id="{00000000-0008-0000-0700-000020000000}"/>
                </a:ext>
              </a:extLst>
            </xdr:cNvPr>
            <xdr:cNvGraphicFramePr>
              <a:graphicFrameLocks/>
            </xdr:cNvGraphicFramePr>
          </xdr:nvGraphicFramePr>
          <xdr:xfrm>
            <a:off x="915276" y="2437913"/>
            <a:ext cx="3336503" cy="381423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cxnSp macro="">
          <xdr:nvCxnSpPr>
            <xdr:cNvPr id="33" name="Straight Arrow Connector 32">
              <a:extLst>
                <a:ext uri="{FF2B5EF4-FFF2-40B4-BE49-F238E27FC236}">
                  <a16:creationId xmlns:a16="http://schemas.microsoft.com/office/drawing/2014/main" id="{00000000-0008-0000-0700-000021000000}"/>
                </a:ext>
              </a:extLst>
            </xdr:cNvPr>
            <xdr:cNvCxnSpPr>
              <a:cxnSpLocks/>
            </xdr:cNvCxnSpPr>
          </xdr:nvCxnSpPr>
          <xdr:spPr>
            <a:xfrm>
              <a:off x="2428067" y="2644226"/>
              <a:ext cx="1442847" cy="1137251"/>
            </a:xfrm>
            <a:prstGeom prst="straightConnector1">
              <a:avLst/>
            </a:prstGeom>
            <a:ln>
              <a:solidFill>
                <a:srgbClr val="C00000"/>
              </a:solidFill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263756</xdr:colOff>
      <xdr:row>19</xdr:row>
      <xdr:rowOff>183777</xdr:rowOff>
    </xdr:from>
    <xdr:to>
      <xdr:col>13</xdr:col>
      <xdr:colOff>493716</xdr:colOff>
      <xdr:row>42</xdr:row>
      <xdr:rowOff>2802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756" y="3971365"/>
          <a:ext cx="10976401" cy="420052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7</xdr:row>
      <xdr:rowOff>0</xdr:rowOff>
    </xdr:from>
    <xdr:to>
      <xdr:col>20</xdr:col>
      <xdr:colOff>332512</xdr:colOff>
      <xdr:row>30</xdr:row>
      <xdr:rowOff>186865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EAD671FE-E680-4569-B6AA-7250BB3AE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32</xdr:row>
      <xdr:rowOff>12313</xdr:rowOff>
    </xdr:from>
    <xdr:to>
      <xdr:col>25</xdr:col>
      <xdr:colOff>86214</xdr:colOff>
      <xdr:row>51</xdr:row>
      <xdr:rowOff>133213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267499</xdr:colOff>
      <xdr:row>32</xdr:row>
      <xdr:rowOff>0</xdr:rowOff>
    </xdr:from>
    <xdr:to>
      <xdr:col>30</xdr:col>
      <xdr:colOff>95572</xdr:colOff>
      <xdr:row>51</xdr:row>
      <xdr:rowOff>120900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1700893</xdr:colOff>
      <xdr:row>70</xdr:row>
      <xdr:rowOff>132671</xdr:rowOff>
    </xdr:from>
    <xdr:to>
      <xdr:col>34</xdr:col>
      <xdr:colOff>438376</xdr:colOff>
      <xdr:row>83</xdr:row>
      <xdr:rowOff>31974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C656A93D-50C4-8525-8E9B-284E89F15483}"/>
            </a:ext>
          </a:extLst>
        </xdr:cNvPr>
        <xdr:cNvGrpSpPr/>
      </xdr:nvGrpSpPr>
      <xdr:grpSpPr>
        <a:xfrm>
          <a:off x="29098257" y="14887762"/>
          <a:ext cx="6877028" cy="2600939"/>
          <a:chOff x="0" y="0"/>
          <a:chExt cx="6254750" cy="2399616"/>
        </a:xfrm>
      </xdr:grpSpPr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4035CECE-6F72-399B-7B57-14895DD18B76}"/>
              </a:ext>
            </a:extLst>
          </xdr:cNvPr>
          <xdr:cNvSpPr/>
        </xdr:nvSpPr>
        <xdr:spPr>
          <a:xfrm>
            <a:off x="0" y="0"/>
            <a:ext cx="6254750" cy="2399616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000">
              <a:solidFill>
                <a:schemeClr val="tx1"/>
              </a:solidFill>
            </a:endParaRPr>
          </a:p>
        </xdr:txBody>
      </xdr:sp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C0D1EE4D-7B7D-44EE-88D9-CFF30FBDF63A}"/>
              </a:ext>
            </a:extLst>
          </xdr:cNvPr>
          <xdr:cNvGraphicFramePr>
            <a:graphicFrameLocks/>
          </xdr:cNvGraphicFramePr>
        </xdr:nvGraphicFramePr>
        <xdr:xfrm>
          <a:off x="151356" y="76944"/>
          <a:ext cx="2830558" cy="227044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110F4A71-9CE3-4840-B0CF-40D8D7FC80D5}"/>
              </a:ext>
            </a:extLst>
          </xdr:cNvPr>
          <xdr:cNvGraphicFramePr>
            <a:graphicFrameLocks/>
          </xdr:cNvGraphicFramePr>
        </xdr:nvGraphicFramePr>
        <xdr:xfrm>
          <a:off x="3315551" y="76944"/>
          <a:ext cx="2834640" cy="227044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27" name="TextBox 234">
            <a:extLst>
              <a:ext uri="{FF2B5EF4-FFF2-40B4-BE49-F238E27FC236}">
                <a16:creationId xmlns:a16="http://schemas.microsoft.com/office/drawing/2014/main" id="{430D52E8-042C-B761-F2CD-857D991B1033}"/>
              </a:ext>
            </a:extLst>
          </xdr:cNvPr>
          <xdr:cNvSpPr txBox="1"/>
        </xdr:nvSpPr>
        <xdr:spPr>
          <a:xfrm>
            <a:off x="72809" y="0"/>
            <a:ext cx="157094" cy="153888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000" b="1">
                <a:latin typeface="Arial" panose="020B0604020202020204" pitchFamily="34" charset="0"/>
                <a:cs typeface="Arial" panose="020B0604020202020204" pitchFamily="34" charset="0"/>
              </a:rPr>
              <a:t>(a)</a:t>
            </a:r>
          </a:p>
        </xdr:txBody>
      </xdr:sp>
      <xdr:sp macro="" textlink="">
        <xdr:nvSpPr>
          <xdr:cNvPr id="28" name="TextBox 235">
            <a:extLst>
              <a:ext uri="{FF2B5EF4-FFF2-40B4-BE49-F238E27FC236}">
                <a16:creationId xmlns:a16="http://schemas.microsoft.com/office/drawing/2014/main" id="{9C705A9A-E3AE-D6F6-A0D7-723AF126C4E1}"/>
              </a:ext>
            </a:extLst>
          </xdr:cNvPr>
          <xdr:cNvSpPr txBox="1"/>
        </xdr:nvSpPr>
        <xdr:spPr>
          <a:xfrm>
            <a:off x="3237003" y="0"/>
            <a:ext cx="165110" cy="153888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000" b="1">
                <a:latin typeface="Arial" panose="020B0604020202020204" pitchFamily="34" charset="0"/>
                <a:cs typeface="Arial" panose="020B0604020202020204" pitchFamily="34" charset="0"/>
              </a:rPr>
              <a:t>(b)</a:t>
            </a:r>
          </a:p>
        </xdr:txBody>
      </xdr:sp>
    </xdr:grpSp>
    <xdr:clientData/>
  </xdr:twoCellAnchor>
  <xdr:twoCellAnchor editAs="oneCell">
    <xdr:from>
      <xdr:col>19</xdr:col>
      <xdr:colOff>997323</xdr:colOff>
      <xdr:row>194</xdr:row>
      <xdr:rowOff>56028</xdr:rowOff>
    </xdr:from>
    <xdr:to>
      <xdr:col>26</xdr:col>
      <xdr:colOff>1408240</xdr:colOff>
      <xdr:row>205</xdr:row>
      <xdr:rowOff>202117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E69E4273-AECE-2FF5-2522-8BA872284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033441" y="19610293"/>
          <a:ext cx="6943946" cy="259712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51</xdr:col>
      <xdr:colOff>382887</xdr:colOff>
      <xdr:row>45</xdr:row>
      <xdr:rowOff>90656</xdr:rowOff>
    </xdr:from>
    <xdr:to>
      <xdr:col>56</xdr:col>
      <xdr:colOff>372025</xdr:colOff>
      <xdr:row>52</xdr:row>
      <xdr:rowOff>94012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96487" y="10530056"/>
          <a:ext cx="3418138" cy="160355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58</xdr:col>
      <xdr:colOff>725437</xdr:colOff>
      <xdr:row>45</xdr:row>
      <xdr:rowOff>103898</xdr:rowOff>
    </xdr:from>
    <xdr:to>
      <xdr:col>64</xdr:col>
      <xdr:colOff>25422</xdr:colOff>
      <xdr:row>52</xdr:row>
      <xdr:rowOff>153749</xdr:rowOff>
    </xdr:to>
    <xdr:pic>
      <xdr:nvPicPr>
        <xdr:cNvPr id="3" name="Picture 2" descr="Ethylen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9037" y="10543298"/>
          <a:ext cx="3490983" cy="165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569396</xdr:colOff>
      <xdr:row>61</xdr:row>
      <xdr:rowOff>66199</xdr:rowOff>
    </xdr:from>
    <xdr:to>
      <xdr:col>56</xdr:col>
      <xdr:colOff>831018</xdr:colOff>
      <xdr:row>68</xdr:row>
      <xdr:rowOff>45884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911396" y="14163199"/>
          <a:ext cx="5062223" cy="1579885"/>
        </a:xfrm>
        <a:prstGeom prst="rect">
          <a:avLst/>
        </a:prstGeom>
      </xdr:spPr>
    </xdr:pic>
    <xdr:clientData/>
  </xdr:twoCellAnchor>
  <xdr:twoCellAnchor editAs="oneCell">
    <xdr:from>
      <xdr:col>57</xdr:col>
      <xdr:colOff>245496</xdr:colOff>
      <xdr:row>56</xdr:row>
      <xdr:rowOff>173605</xdr:rowOff>
    </xdr:from>
    <xdr:to>
      <xdr:col>61</xdr:col>
      <xdr:colOff>428036</xdr:colOff>
      <xdr:row>70</xdr:row>
      <xdr:rowOff>12005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436096" y="13127605"/>
          <a:ext cx="3459140" cy="3038800"/>
        </a:xfrm>
        <a:prstGeom prst="rect">
          <a:avLst/>
        </a:prstGeom>
      </xdr:spPr>
    </xdr:pic>
    <xdr:clientData/>
  </xdr:twoCellAnchor>
  <xdr:twoCellAnchor>
    <xdr:from>
      <xdr:col>32</xdr:col>
      <xdr:colOff>1936173</xdr:colOff>
      <xdr:row>150</xdr:row>
      <xdr:rowOff>45788</xdr:rowOff>
    </xdr:from>
    <xdr:to>
      <xdr:col>36</xdr:col>
      <xdr:colOff>1388464</xdr:colOff>
      <xdr:row>169</xdr:row>
      <xdr:rowOff>204788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154925</xdr:colOff>
      <xdr:row>150</xdr:row>
      <xdr:rowOff>45461</xdr:rowOff>
    </xdr:from>
    <xdr:to>
      <xdr:col>40</xdr:col>
      <xdr:colOff>915606</xdr:colOff>
      <xdr:row>169</xdr:row>
      <xdr:rowOff>204788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200313</xdr:colOff>
      <xdr:row>125</xdr:row>
      <xdr:rowOff>167986</xdr:rowOff>
    </xdr:from>
    <xdr:to>
      <xdr:col>37</xdr:col>
      <xdr:colOff>471694</xdr:colOff>
      <xdr:row>146</xdr:row>
      <xdr:rowOff>99008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GrpSpPr/>
      </xdr:nvGrpSpPr>
      <xdr:grpSpPr>
        <a:xfrm>
          <a:off x="36762706" y="26089593"/>
          <a:ext cx="5401274" cy="4217272"/>
          <a:chOff x="137453" y="2724728"/>
          <a:chExt cx="4419952" cy="3921997"/>
        </a:xfrm>
      </xdr:grpSpPr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762070" y="4400550"/>
            <a:ext cx="3636000" cy="1019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graphicFrame macro="">
        <xdr:nvGraphicFramePr>
          <xdr:cNvPr id="28" name="Chart 27">
            <a:extLst>
              <a:ext uri="{FF2B5EF4-FFF2-40B4-BE49-F238E27FC236}">
                <a16:creationId xmlns:a16="http://schemas.microsoft.com/office/drawing/2014/main" id="{00000000-0008-0000-0900-00001C000000}"/>
              </a:ext>
            </a:extLst>
          </xdr:cNvPr>
          <xdr:cNvGraphicFramePr>
            <a:graphicFrameLocks/>
          </xdr:cNvGraphicFramePr>
        </xdr:nvGraphicFramePr>
        <xdr:xfrm>
          <a:off x="137453" y="2724728"/>
          <a:ext cx="4419952" cy="39219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00000000-0008-0000-0900-00001D000000}"/>
              </a:ext>
            </a:extLst>
          </xdr:cNvPr>
          <xdr:cNvCxnSpPr/>
        </xdr:nvCxnSpPr>
        <xdr:spPr>
          <a:xfrm flipV="1">
            <a:off x="2209800" y="2867025"/>
            <a:ext cx="0" cy="2552700"/>
          </a:xfrm>
          <a:prstGeom prst="line">
            <a:avLst/>
          </a:prstGeom>
          <a:ln w="19050">
            <a:solidFill>
              <a:srgbClr val="C00000"/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" name="TextBox 16">
            <a:extLst>
              <a:ext uri="{FF2B5EF4-FFF2-40B4-BE49-F238E27FC236}">
                <a16:creationId xmlns:a16="http://schemas.microsoft.com/office/drawing/2014/main" id="{00000000-0008-0000-0900-00001E000000}"/>
              </a:ext>
            </a:extLst>
          </xdr:cNvPr>
          <xdr:cNvSpPr txBox="1"/>
        </xdr:nvSpPr>
        <xdr:spPr>
          <a:xfrm>
            <a:off x="2196172" y="2877882"/>
            <a:ext cx="782587" cy="46166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GB" sz="1200" b="1">
                <a:solidFill>
                  <a:srgbClr val="C00000"/>
                </a:solidFill>
              </a:rPr>
              <a:t>Baseline</a:t>
            </a:r>
          </a:p>
          <a:p>
            <a:pPr algn="ctr"/>
            <a:r>
              <a:rPr lang="en-US" sz="1200" b="1">
                <a:solidFill>
                  <a:srgbClr val="C00000"/>
                </a:solidFill>
              </a:rPr>
              <a:t>(3.27)</a:t>
            </a:r>
          </a:p>
        </xdr:txBody>
      </xdr:sp>
    </xdr:grpSp>
    <xdr:clientData/>
  </xdr:twoCellAnchor>
  <xdr:twoCellAnchor>
    <xdr:from>
      <xdr:col>37</xdr:col>
      <xdr:colOff>541025</xdr:colOff>
      <xdr:row>125</xdr:row>
      <xdr:rowOff>167986</xdr:rowOff>
    </xdr:from>
    <xdr:to>
      <xdr:col>41</xdr:col>
      <xdr:colOff>557685</xdr:colOff>
      <xdr:row>146</xdr:row>
      <xdr:rowOff>99008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GrpSpPr/>
      </xdr:nvGrpSpPr>
      <xdr:grpSpPr>
        <a:xfrm>
          <a:off x="42233311" y="26089593"/>
          <a:ext cx="5024088" cy="4217272"/>
          <a:chOff x="4623561" y="2724728"/>
          <a:chExt cx="4435105" cy="3921997"/>
        </a:xfrm>
      </xdr:grpSpPr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/>
        </xdr:nvSpPr>
        <xdr:spPr>
          <a:xfrm>
            <a:off x="5257799" y="4400550"/>
            <a:ext cx="3636000" cy="1019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GraphicFramePr>
            <a:graphicFrameLocks/>
          </xdr:cNvGraphicFramePr>
        </xdr:nvGraphicFramePr>
        <xdr:xfrm>
          <a:off x="4623561" y="2724728"/>
          <a:ext cx="4435105" cy="39219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CxnSpPr/>
        </xdr:nvCxnSpPr>
        <xdr:spPr>
          <a:xfrm flipV="1">
            <a:off x="8157894" y="2882179"/>
            <a:ext cx="0" cy="2552700"/>
          </a:xfrm>
          <a:prstGeom prst="line">
            <a:avLst/>
          </a:prstGeom>
          <a:ln w="19050">
            <a:solidFill>
              <a:srgbClr val="C00000"/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TextBox 21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 txBox="1"/>
        </xdr:nvSpPr>
        <xdr:spPr>
          <a:xfrm>
            <a:off x="8144266" y="2893036"/>
            <a:ext cx="782587" cy="46166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GB" sz="1200" b="1">
                <a:solidFill>
                  <a:srgbClr val="C00000"/>
                </a:solidFill>
              </a:rPr>
              <a:t>Baseline</a:t>
            </a:r>
          </a:p>
          <a:p>
            <a:pPr algn="ctr"/>
            <a:r>
              <a:rPr lang="en-GB" sz="1200" b="1">
                <a:solidFill>
                  <a:srgbClr val="C00000"/>
                </a:solidFill>
              </a:rPr>
              <a:t>(3.95)</a:t>
            </a:r>
            <a:endParaRPr lang="en-US" sz="1200" b="1">
              <a:solidFill>
                <a:srgbClr val="C00000"/>
              </a:solidFill>
            </a:endParaRPr>
          </a:p>
        </xdr:txBody>
      </xdr:sp>
    </xdr:grpSp>
    <xdr:clientData/>
  </xdr:twoCellAnchor>
  <xdr:twoCellAnchor>
    <xdr:from>
      <xdr:col>25</xdr:col>
      <xdr:colOff>1042554</xdr:colOff>
      <xdr:row>132</xdr:row>
      <xdr:rowOff>31404</xdr:rowOff>
    </xdr:from>
    <xdr:to>
      <xdr:col>30</xdr:col>
      <xdr:colOff>210414</xdr:colOff>
      <xdr:row>148</xdr:row>
      <xdr:rowOff>198294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197428</xdr:colOff>
      <xdr:row>130</xdr:row>
      <xdr:rowOff>56029</xdr:rowOff>
    </xdr:from>
    <xdr:to>
      <xdr:col>24</xdr:col>
      <xdr:colOff>1230003</xdr:colOff>
      <xdr:row>152</xdr:row>
      <xdr:rowOff>17929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4A506D-EA52-4F42-8DC2-8EB89CD94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21</xdr:col>
      <xdr:colOff>148994</xdr:colOff>
      <xdr:row>153</xdr:row>
      <xdr:rowOff>52696</xdr:rowOff>
    </xdr:from>
    <xdr:to>
      <xdr:col>24</xdr:col>
      <xdr:colOff>1183318</xdr:colOff>
      <xdr:row>172</xdr:row>
      <xdr:rowOff>6695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0C6C34E-306D-6A9E-0C63-AD119041C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467694" y="35257096"/>
          <a:ext cx="4920524" cy="4297399"/>
        </a:xfrm>
        <a:prstGeom prst="rect">
          <a:avLst/>
        </a:prstGeom>
      </xdr:spPr>
    </xdr:pic>
    <xdr:clientData/>
  </xdr:twoCellAnchor>
  <xdr:twoCellAnchor editAs="oneCell">
    <xdr:from>
      <xdr:col>25</xdr:col>
      <xdr:colOff>850629</xdr:colOff>
      <xdr:row>153</xdr:row>
      <xdr:rowOff>207004</xdr:rowOff>
    </xdr:from>
    <xdr:to>
      <xdr:col>29</xdr:col>
      <xdr:colOff>350377</xdr:colOff>
      <xdr:row>172</xdr:row>
      <xdr:rowOff>167098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9982819A-3E29-7AB8-5B0B-9B7BDF4F7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503329" y="35411404"/>
          <a:ext cx="4909948" cy="430349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640773</xdr:colOff>
      <xdr:row>128</xdr:row>
      <xdr:rowOff>7688</xdr:rowOff>
    </xdr:from>
    <xdr:to>
      <xdr:col>45</xdr:col>
      <xdr:colOff>664564</xdr:colOff>
      <xdr:row>147</xdr:row>
      <xdr:rowOff>166688</xdr:rowOff>
    </xdr:to>
    <xdr:graphicFrame macro="">
      <xdr:nvGraphicFramePr>
        <xdr:cNvPr id="6" name="Chart 7">
          <a:extLst>
            <a:ext uri="{FF2B5EF4-FFF2-40B4-BE49-F238E27FC236}">
              <a16:creationId xmlns:a16="http://schemas.microsoft.com/office/drawing/2014/main" id="{E63050CA-D8F5-4044-87E2-5F3613F7F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1031225</xdr:colOff>
      <xdr:row>128</xdr:row>
      <xdr:rowOff>7361</xdr:rowOff>
    </xdr:from>
    <xdr:to>
      <xdr:col>50</xdr:col>
      <xdr:colOff>304800</xdr:colOff>
      <xdr:row>147</xdr:row>
      <xdr:rowOff>166688</xdr:rowOff>
    </xdr:to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E6E27218-9A1E-412B-A15D-67FD7AAAE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200313</xdr:colOff>
      <xdr:row>125</xdr:row>
      <xdr:rowOff>167986</xdr:rowOff>
    </xdr:from>
    <xdr:to>
      <xdr:col>37</xdr:col>
      <xdr:colOff>471694</xdr:colOff>
      <xdr:row>146</xdr:row>
      <xdr:rowOff>99008</xdr:rowOff>
    </xdr:to>
    <xdr:grpSp>
      <xdr:nvGrpSpPr>
        <xdr:cNvPr id="8" name="Group 20">
          <a:extLst>
            <a:ext uri="{FF2B5EF4-FFF2-40B4-BE49-F238E27FC236}">
              <a16:creationId xmlns:a16="http://schemas.microsoft.com/office/drawing/2014/main" id="{143EA55A-F889-4B24-870D-3970993B45EA}"/>
            </a:ext>
          </a:extLst>
        </xdr:cNvPr>
        <xdr:cNvGrpSpPr/>
      </xdr:nvGrpSpPr>
      <xdr:grpSpPr>
        <a:xfrm>
          <a:off x="38750586" y="26560895"/>
          <a:ext cx="5414881" cy="4295204"/>
          <a:chOff x="137453" y="2724728"/>
          <a:chExt cx="4419952" cy="3921997"/>
        </a:xfrm>
      </xdr:grpSpPr>
      <xdr:sp macro="" textlink="">
        <xdr:nvSpPr>
          <xdr:cNvPr id="9" name="Rectangle 26">
            <a:extLst>
              <a:ext uri="{FF2B5EF4-FFF2-40B4-BE49-F238E27FC236}">
                <a16:creationId xmlns:a16="http://schemas.microsoft.com/office/drawing/2014/main" id="{0A8081E9-A0E4-12D4-D73F-A4C73CDFD431}"/>
              </a:ext>
            </a:extLst>
          </xdr:cNvPr>
          <xdr:cNvSpPr/>
        </xdr:nvSpPr>
        <xdr:spPr>
          <a:xfrm>
            <a:off x="762070" y="4400550"/>
            <a:ext cx="3636000" cy="1019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graphicFrame macro="">
        <xdr:nvGraphicFramePr>
          <xdr:cNvPr id="10" name="Chart 27">
            <a:extLst>
              <a:ext uri="{FF2B5EF4-FFF2-40B4-BE49-F238E27FC236}">
                <a16:creationId xmlns:a16="http://schemas.microsoft.com/office/drawing/2014/main" id="{DDEA17AC-7B2A-454B-DA67-A2FB872BC2BB}"/>
              </a:ext>
            </a:extLst>
          </xdr:cNvPr>
          <xdr:cNvGraphicFramePr>
            <a:graphicFrameLocks/>
          </xdr:cNvGraphicFramePr>
        </xdr:nvGraphicFramePr>
        <xdr:xfrm>
          <a:off x="137453" y="2724728"/>
          <a:ext cx="4419952" cy="39219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cxnSp macro="">
        <xdr:nvCxnSpPr>
          <xdr:cNvPr id="11" name="Straight Connector 28">
            <a:extLst>
              <a:ext uri="{FF2B5EF4-FFF2-40B4-BE49-F238E27FC236}">
                <a16:creationId xmlns:a16="http://schemas.microsoft.com/office/drawing/2014/main" id="{EC504A1D-EE15-35B4-DACE-E742F82B8ED7}"/>
              </a:ext>
            </a:extLst>
          </xdr:cNvPr>
          <xdr:cNvCxnSpPr/>
        </xdr:nvCxnSpPr>
        <xdr:spPr>
          <a:xfrm flipV="1">
            <a:off x="2209800" y="2867025"/>
            <a:ext cx="0" cy="2552700"/>
          </a:xfrm>
          <a:prstGeom prst="line">
            <a:avLst/>
          </a:prstGeom>
          <a:ln w="19050">
            <a:solidFill>
              <a:srgbClr val="C00000"/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TextBox 16">
            <a:extLst>
              <a:ext uri="{FF2B5EF4-FFF2-40B4-BE49-F238E27FC236}">
                <a16:creationId xmlns:a16="http://schemas.microsoft.com/office/drawing/2014/main" id="{571265C7-DE90-5FB0-EBE4-A76E73072662}"/>
              </a:ext>
            </a:extLst>
          </xdr:cNvPr>
          <xdr:cNvSpPr txBox="1"/>
        </xdr:nvSpPr>
        <xdr:spPr>
          <a:xfrm>
            <a:off x="2196172" y="2877882"/>
            <a:ext cx="782587" cy="46166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GB" sz="1200" b="1">
                <a:solidFill>
                  <a:srgbClr val="C00000"/>
                </a:solidFill>
              </a:rPr>
              <a:t>Baseline</a:t>
            </a:r>
          </a:p>
          <a:p>
            <a:pPr algn="ctr"/>
            <a:r>
              <a:rPr lang="en-US" sz="1200" b="1">
                <a:solidFill>
                  <a:srgbClr val="C00000"/>
                </a:solidFill>
              </a:rPr>
              <a:t>(3.27)</a:t>
            </a:r>
          </a:p>
        </xdr:txBody>
      </xdr:sp>
    </xdr:grpSp>
    <xdr:clientData/>
  </xdr:twoCellAnchor>
  <xdr:twoCellAnchor>
    <xdr:from>
      <xdr:col>37</xdr:col>
      <xdr:colOff>541025</xdr:colOff>
      <xdr:row>125</xdr:row>
      <xdr:rowOff>167986</xdr:rowOff>
    </xdr:from>
    <xdr:to>
      <xdr:col>41</xdr:col>
      <xdr:colOff>557685</xdr:colOff>
      <xdr:row>146</xdr:row>
      <xdr:rowOff>99008</xdr:rowOff>
    </xdr:to>
    <xdr:grpSp>
      <xdr:nvGrpSpPr>
        <xdr:cNvPr id="13" name="Group 21">
          <a:extLst>
            <a:ext uri="{FF2B5EF4-FFF2-40B4-BE49-F238E27FC236}">
              <a16:creationId xmlns:a16="http://schemas.microsoft.com/office/drawing/2014/main" id="{230F1F37-1E8B-4423-B9BF-74AABED98517}"/>
            </a:ext>
          </a:extLst>
        </xdr:cNvPr>
        <xdr:cNvGrpSpPr/>
      </xdr:nvGrpSpPr>
      <xdr:grpSpPr>
        <a:xfrm>
          <a:off x="44234798" y="26560895"/>
          <a:ext cx="5073569" cy="4295204"/>
          <a:chOff x="4623561" y="2724728"/>
          <a:chExt cx="4435105" cy="3921997"/>
        </a:xfrm>
      </xdr:grpSpPr>
      <xdr:sp macro="" textlink="">
        <xdr:nvSpPr>
          <xdr:cNvPr id="14" name="Rectangle 22">
            <a:extLst>
              <a:ext uri="{FF2B5EF4-FFF2-40B4-BE49-F238E27FC236}">
                <a16:creationId xmlns:a16="http://schemas.microsoft.com/office/drawing/2014/main" id="{908FB04B-1CB8-F554-57F8-D9172074DE47}"/>
              </a:ext>
            </a:extLst>
          </xdr:cNvPr>
          <xdr:cNvSpPr/>
        </xdr:nvSpPr>
        <xdr:spPr>
          <a:xfrm>
            <a:off x="5257799" y="4400550"/>
            <a:ext cx="3636000" cy="1019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graphicFrame macro="">
        <xdr:nvGraphicFramePr>
          <xdr:cNvPr id="15" name="Chart 23">
            <a:extLst>
              <a:ext uri="{FF2B5EF4-FFF2-40B4-BE49-F238E27FC236}">
                <a16:creationId xmlns:a16="http://schemas.microsoft.com/office/drawing/2014/main" id="{311BFE26-E0EC-2B11-9E10-42A58B7DB746}"/>
              </a:ext>
            </a:extLst>
          </xdr:cNvPr>
          <xdr:cNvGraphicFramePr>
            <a:graphicFrameLocks/>
          </xdr:cNvGraphicFramePr>
        </xdr:nvGraphicFramePr>
        <xdr:xfrm>
          <a:off x="4623561" y="2724728"/>
          <a:ext cx="4435105" cy="39219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cxnSp macro="">
        <xdr:nvCxnSpPr>
          <xdr:cNvPr id="16" name="Straight Connector 24">
            <a:extLst>
              <a:ext uri="{FF2B5EF4-FFF2-40B4-BE49-F238E27FC236}">
                <a16:creationId xmlns:a16="http://schemas.microsoft.com/office/drawing/2014/main" id="{0B8A418E-FF79-B891-AC49-BB094B93D95A}"/>
              </a:ext>
            </a:extLst>
          </xdr:cNvPr>
          <xdr:cNvCxnSpPr/>
        </xdr:nvCxnSpPr>
        <xdr:spPr>
          <a:xfrm flipV="1">
            <a:off x="8157894" y="2882179"/>
            <a:ext cx="0" cy="2552700"/>
          </a:xfrm>
          <a:prstGeom prst="line">
            <a:avLst/>
          </a:prstGeom>
          <a:ln w="19050">
            <a:solidFill>
              <a:srgbClr val="C00000"/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" name="TextBox 21">
            <a:extLst>
              <a:ext uri="{FF2B5EF4-FFF2-40B4-BE49-F238E27FC236}">
                <a16:creationId xmlns:a16="http://schemas.microsoft.com/office/drawing/2014/main" id="{949CE36A-A255-4FA9-3465-C565E022EE85}"/>
              </a:ext>
            </a:extLst>
          </xdr:cNvPr>
          <xdr:cNvSpPr txBox="1"/>
        </xdr:nvSpPr>
        <xdr:spPr>
          <a:xfrm>
            <a:off x="8144266" y="2893036"/>
            <a:ext cx="782587" cy="46166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GB" sz="1200" b="1">
                <a:solidFill>
                  <a:srgbClr val="C00000"/>
                </a:solidFill>
              </a:rPr>
              <a:t>Baseline</a:t>
            </a:r>
          </a:p>
          <a:p>
            <a:pPr algn="ctr"/>
            <a:r>
              <a:rPr lang="en-GB" sz="1200" b="1">
                <a:solidFill>
                  <a:srgbClr val="C00000"/>
                </a:solidFill>
              </a:rPr>
              <a:t>(3.95)</a:t>
            </a:r>
            <a:endParaRPr lang="en-US" sz="1200" b="1">
              <a:solidFill>
                <a:srgbClr val="C00000"/>
              </a:solidFill>
            </a:endParaRPr>
          </a:p>
        </xdr:txBody>
      </xdr:sp>
    </xdr:grpSp>
    <xdr:clientData/>
  </xdr:twoCellAnchor>
  <xdr:twoCellAnchor>
    <xdr:from>
      <xdr:col>8</xdr:col>
      <xdr:colOff>51954</xdr:colOff>
      <xdr:row>157</xdr:row>
      <xdr:rowOff>31404</xdr:rowOff>
    </xdr:from>
    <xdr:to>
      <xdr:col>11</xdr:col>
      <xdr:colOff>1201014</xdr:colOff>
      <xdr:row>174</xdr:row>
      <xdr:rowOff>7794</xdr:rowOff>
    </xdr:to>
    <xdr:graphicFrame macro="">
      <xdr:nvGraphicFramePr>
        <xdr:cNvPr id="18" name="Chart 30">
          <a:extLst>
            <a:ext uri="{FF2B5EF4-FFF2-40B4-BE49-F238E27FC236}">
              <a16:creationId xmlns:a16="http://schemas.microsoft.com/office/drawing/2014/main" id="{50298810-3BB1-48D9-9357-55FA0151C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1645228</xdr:colOff>
      <xdr:row>155</xdr:row>
      <xdr:rowOff>56029</xdr:rowOff>
    </xdr:from>
    <xdr:to>
      <xdr:col>7</xdr:col>
      <xdr:colOff>239403</xdr:colOff>
      <xdr:row>177</xdr:row>
      <xdr:rowOff>56029</xdr:rowOff>
    </xdr:to>
    <xdr:graphicFrame macro="">
      <xdr:nvGraphicFramePr>
        <xdr:cNvPr id="19" name="Chart 5">
          <a:extLst>
            <a:ext uri="{FF2B5EF4-FFF2-40B4-BE49-F238E27FC236}">
              <a16:creationId xmlns:a16="http://schemas.microsoft.com/office/drawing/2014/main" id="{7C5C88EF-2E92-457F-9990-FD5A19C7A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301394</xdr:colOff>
      <xdr:row>178</xdr:row>
      <xdr:rowOff>166996</xdr:rowOff>
    </xdr:from>
    <xdr:to>
      <xdr:col>14</xdr:col>
      <xdr:colOff>1994617</xdr:colOff>
      <xdr:row>197</xdr:row>
      <xdr:rowOff>120996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CA64BAA6-290B-43B5-B994-7DCD2101D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02469" y="37885996"/>
          <a:ext cx="4920524" cy="3935449"/>
        </a:xfrm>
        <a:prstGeom prst="rect">
          <a:avLst/>
        </a:prstGeom>
      </xdr:spPr>
    </xdr:pic>
    <xdr:clientData/>
  </xdr:twoCellAnchor>
  <xdr:twoCellAnchor editAs="oneCell">
    <xdr:from>
      <xdr:col>9</xdr:col>
      <xdr:colOff>469629</xdr:colOff>
      <xdr:row>179</xdr:row>
      <xdr:rowOff>92704</xdr:rowOff>
    </xdr:from>
    <xdr:to>
      <xdr:col>14</xdr:col>
      <xdr:colOff>1911304</xdr:colOff>
      <xdr:row>198</xdr:row>
      <xdr:rowOff>52798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182991C-677C-4702-8B88-A1081751A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458950" y="38021254"/>
          <a:ext cx="4881373" cy="394154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692726</xdr:colOff>
      <xdr:row>28</xdr:row>
      <xdr:rowOff>5196</xdr:rowOff>
    </xdr:from>
    <xdr:to>
      <xdr:col>11</xdr:col>
      <xdr:colOff>606135</xdr:colOff>
      <xdr:row>44</xdr:row>
      <xdr:rowOff>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10AAC01-C3E8-4E59-BDD8-78CC637C5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658089</xdr:colOff>
      <xdr:row>28</xdr:row>
      <xdr:rowOff>5195</xdr:rowOff>
    </xdr:from>
    <xdr:to>
      <xdr:col>17</xdr:col>
      <xdr:colOff>588817</xdr:colOff>
      <xdr:row>43</xdr:row>
      <xdr:rowOff>173181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E0ED078-1B15-4B33-A4E1-C3E196B24D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658091</xdr:colOff>
      <xdr:row>28</xdr:row>
      <xdr:rowOff>51955</xdr:rowOff>
    </xdr:from>
    <xdr:to>
      <xdr:col>23</xdr:col>
      <xdr:colOff>467591</xdr:colOff>
      <xdr:row>44</xdr:row>
      <xdr:rowOff>12123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3110831-4FAF-4C34-9F07-3AF2D47D4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419100</xdr:colOff>
      <xdr:row>28</xdr:row>
      <xdr:rowOff>28575</xdr:rowOff>
    </xdr:from>
    <xdr:to>
      <xdr:col>6</xdr:col>
      <xdr:colOff>370858</xdr:colOff>
      <xdr:row>43</xdr:row>
      <xdr:rowOff>198293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9019DF2C-625E-4F37-B398-4127592E8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12</xdr:row>
      <xdr:rowOff>0</xdr:rowOff>
    </xdr:from>
    <xdr:to>
      <xdr:col>11</xdr:col>
      <xdr:colOff>263285</xdr:colOff>
      <xdr:row>20</xdr:row>
      <xdr:rowOff>185964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30</xdr:row>
      <xdr:rowOff>0</xdr:rowOff>
    </xdr:from>
    <xdr:to>
      <xdr:col>11</xdr:col>
      <xdr:colOff>263285</xdr:colOff>
      <xdr:row>38</xdr:row>
      <xdr:rowOff>185964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39</xdr:row>
      <xdr:rowOff>0</xdr:rowOff>
    </xdr:from>
    <xdr:to>
      <xdr:col>11</xdr:col>
      <xdr:colOff>263285</xdr:colOff>
      <xdr:row>48</xdr:row>
      <xdr:rowOff>4535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11</xdr:col>
      <xdr:colOff>263285</xdr:colOff>
      <xdr:row>29</xdr:row>
      <xdr:rowOff>185964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22</xdr:row>
      <xdr:rowOff>127000</xdr:rowOff>
    </xdr:from>
    <xdr:to>
      <xdr:col>24</xdr:col>
      <xdr:colOff>180426</xdr:colOff>
      <xdr:row>42</xdr:row>
      <xdr:rowOff>15317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pSpPr/>
      </xdr:nvGrpSpPr>
      <xdr:grpSpPr>
        <a:xfrm>
          <a:off x="11551227" y="4785591"/>
          <a:ext cx="9081972" cy="4113953"/>
          <a:chOff x="550652" y="3018741"/>
          <a:chExt cx="8072569" cy="3549546"/>
        </a:xfrm>
      </xdr:grpSpPr>
      <xdr:graphicFrame macro="">
        <xdr:nvGraphicFramePr>
          <xdr:cNvPr id="16" name="Chart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GraphicFramePr>
            <a:graphicFrameLocks/>
          </xdr:cNvGraphicFramePr>
        </xdr:nvGraphicFramePr>
        <xdr:xfrm>
          <a:off x="550652" y="4921823"/>
          <a:ext cx="3900928" cy="16464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GraphicFramePr>
            <a:graphicFrameLocks/>
          </xdr:cNvGraphicFramePr>
        </xdr:nvGraphicFramePr>
        <xdr:xfrm>
          <a:off x="4722293" y="3018741"/>
          <a:ext cx="3900928" cy="16464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18" name="Chart 17">
            <a:extLst>
              <a:ext uri="{FF2B5EF4-FFF2-40B4-BE49-F238E27FC236}">
                <a16:creationId xmlns:a16="http://schemas.microsoft.com/office/drawing/2014/main" id="{00000000-0008-0000-0A00-000012000000}"/>
              </a:ext>
            </a:extLst>
          </xdr:cNvPr>
          <xdr:cNvGraphicFramePr>
            <a:graphicFrameLocks/>
          </xdr:cNvGraphicFramePr>
        </xdr:nvGraphicFramePr>
        <xdr:xfrm>
          <a:off x="4722293" y="4921823"/>
          <a:ext cx="3900928" cy="16464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0.62205</cdr:x>
      <cdr:y>0.19901</cdr:y>
    </cdr:from>
    <cdr:to>
      <cdr:x>0.72701</cdr:x>
      <cdr:y>0.2415</cdr:y>
    </cdr:to>
    <cdr:sp macro="" textlink="">
      <cdr:nvSpPr>
        <cdr:cNvPr id="2" name="Isosceles Triangle 1">
          <a:extLst xmlns:a="http://schemas.openxmlformats.org/drawingml/2006/main">
            <a:ext uri="{FF2B5EF4-FFF2-40B4-BE49-F238E27FC236}">
              <a16:creationId xmlns:a16="http://schemas.microsoft.com/office/drawing/2014/main" id="{F0B9E9D2-607F-8AF2-B96E-7164FB1A344E}"/>
            </a:ext>
          </a:extLst>
        </cdr:cNvPr>
        <cdr:cNvSpPr/>
      </cdr:nvSpPr>
      <cdr:spPr>
        <a:xfrm xmlns:a="http://schemas.openxmlformats.org/drawingml/2006/main" flipV="1">
          <a:off x="2426566" y="327659"/>
          <a:ext cx="409447" cy="69969"/>
        </a:xfrm>
        <a:prstGeom xmlns:a="http://schemas.openxmlformats.org/drawingml/2006/main" prst="triangl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US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0.62205</cdr:x>
      <cdr:y>0.19901</cdr:y>
    </cdr:from>
    <cdr:to>
      <cdr:x>0.72701</cdr:x>
      <cdr:y>0.2415</cdr:y>
    </cdr:to>
    <cdr:sp macro="" textlink="">
      <cdr:nvSpPr>
        <cdr:cNvPr id="2" name="Isosceles Triangle 1">
          <a:extLst xmlns:a="http://schemas.openxmlformats.org/drawingml/2006/main">
            <a:ext uri="{FF2B5EF4-FFF2-40B4-BE49-F238E27FC236}">
              <a16:creationId xmlns:a16="http://schemas.microsoft.com/office/drawing/2014/main" id="{F0B9E9D2-607F-8AF2-B96E-7164FB1A344E}"/>
            </a:ext>
          </a:extLst>
        </cdr:cNvPr>
        <cdr:cNvSpPr/>
      </cdr:nvSpPr>
      <cdr:spPr>
        <a:xfrm xmlns:a="http://schemas.openxmlformats.org/drawingml/2006/main" flipV="1">
          <a:off x="2426566" y="327659"/>
          <a:ext cx="409447" cy="69969"/>
        </a:xfrm>
        <a:prstGeom xmlns:a="http://schemas.openxmlformats.org/drawingml/2006/main" prst="triangl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US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0.62205</cdr:x>
      <cdr:y>0.19901</cdr:y>
    </cdr:from>
    <cdr:to>
      <cdr:x>0.72701</cdr:x>
      <cdr:y>0.2415</cdr:y>
    </cdr:to>
    <cdr:sp macro="" textlink="">
      <cdr:nvSpPr>
        <cdr:cNvPr id="2" name="Isosceles Triangle 1">
          <a:extLst xmlns:a="http://schemas.openxmlformats.org/drawingml/2006/main">
            <a:ext uri="{FF2B5EF4-FFF2-40B4-BE49-F238E27FC236}">
              <a16:creationId xmlns:a16="http://schemas.microsoft.com/office/drawing/2014/main" id="{F0B9E9D2-607F-8AF2-B96E-7164FB1A344E}"/>
            </a:ext>
          </a:extLst>
        </cdr:cNvPr>
        <cdr:cNvSpPr/>
      </cdr:nvSpPr>
      <cdr:spPr>
        <a:xfrm xmlns:a="http://schemas.openxmlformats.org/drawingml/2006/main" flipV="1">
          <a:off x="2426566" y="327659"/>
          <a:ext cx="409447" cy="69969"/>
        </a:xfrm>
        <a:prstGeom xmlns:a="http://schemas.openxmlformats.org/drawingml/2006/main" prst="triangl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US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0.62205</cdr:x>
      <cdr:y>0.19901</cdr:y>
    </cdr:from>
    <cdr:to>
      <cdr:x>0.72701</cdr:x>
      <cdr:y>0.2415</cdr:y>
    </cdr:to>
    <cdr:sp macro="" textlink="">
      <cdr:nvSpPr>
        <cdr:cNvPr id="2" name="Isosceles Triangle 1">
          <a:extLst xmlns:a="http://schemas.openxmlformats.org/drawingml/2006/main">
            <a:ext uri="{FF2B5EF4-FFF2-40B4-BE49-F238E27FC236}">
              <a16:creationId xmlns:a16="http://schemas.microsoft.com/office/drawing/2014/main" id="{F0B9E9D2-607F-8AF2-B96E-7164FB1A344E}"/>
            </a:ext>
          </a:extLst>
        </cdr:cNvPr>
        <cdr:cNvSpPr/>
      </cdr:nvSpPr>
      <cdr:spPr>
        <a:xfrm xmlns:a="http://schemas.openxmlformats.org/drawingml/2006/main" flipV="1">
          <a:off x="2426566" y="327659"/>
          <a:ext cx="409447" cy="69969"/>
        </a:xfrm>
        <a:prstGeom xmlns:a="http://schemas.openxmlformats.org/drawingml/2006/main" prst="triangl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US"/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0.62205</cdr:x>
      <cdr:y>0.19901</cdr:y>
    </cdr:from>
    <cdr:to>
      <cdr:x>0.72701</cdr:x>
      <cdr:y>0.2415</cdr:y>
    </cdr:to>
    <cdr:sp macro="" textlink="">
      <cdr:nvSpPr>
        <cdr:cNvPr id="2" name="Isosceles Triangle 1">
          <a:extLst xmlns:a="http://schemas.openxmlformats.org/drawingml/2006/main">
            <a:ext uri="{FF2B5EF4-FFF2-40B4-BE49-F238E27FC236}">
              <a16:creationId xmlns:a16="http://schemas.microsoft.com/office/drawing/2014/main" id="{F0B9E9D2-607F-8AF2-B96E-7164FB1A344E}"/>
            </a:ext>
          </a:extLst>
        </cdr:cNvPr>
        <cdr:cNvSpPr/>
      </cdr:nvSpPr>
      <cdr:spPr>
        <a:xfrm xmlns:a="http://schemas.openxmlformats.org/drawingml/2006/main" flipV="1">
          <a:off x="2426566" y="327659"/>
          <a:ext cx="409447" cy="69969"/>
        </a:xfrm>
        <a:prstGeom xmlns:a="http://schemas.openxmlformats.org/drawingml/2006/main" prst="triangl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US"/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0.62205</cdr:x>
      <cdr:y>0.19901</cdr:y>
    </cdr:from>
    <cdr:to>
      <cdr:x>0.72701</cdr:x>
      <cdr:y>0.2415</cdr:y>
    </cdr:to>
    <cdr:sp macro="" textlink="">
      <cdr:nvSpPr>
        <cdr:cNvPr id="2" name="Isosceles Triangle 1">
          <a:extLst xmlns:a="http://schemas.openxmlformats.org/drawingml/2006/main">
            <a:ext uri="{FF2B5EF4-FFF2-40B4-BE49-F238E27FC236}">
              <a16:creationId xmlns:a16="http://schemas.microsoft.com/office/drawing/2014/main" id="{F0B9E9D2-607F-8AF2-B96E-7164FB1A344E}"/>
            </a:ext>
          </a:extLst>
        </cdr:cNvPr>
        <cdr:cNvSpPr/>
      </cdr:nvSpPr>
      <cdr:spPr>
        <a:xfrm xmlns:a="http://schemas.openxmlformats.org/drawingml/2006/main" flipV="1">
          <a:off x="2426566" y="327659"/>
          <a:ext cx="409447" cy="69969"/>
        </a:xfrm>
        <a:prstGeom xmlns:a="http://schemas.openxmlformats.org/drawingml/2006/main" prst="triangl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US"/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0.62205</cdr:x>
      <cdr:y>0.19901</cdr:y>
    </cdr:from>
    <cdr:to>
      <cdr:x>0.72701</cdr:x>
      <cdr:y>0.2415</cdr:y>
    </cdr:to>
    <cdr:sp macro="" textlink="">
      <cdr:nvSpPr>
        <cdr:cNvPr id="2" name="Isosceles Triangle 1">
          <a:extLst xmlns:a="http://schemas.openxmlformats.org/drawingml/2006/main">
            <a:ext uri="{FF2B5EF4-FFF2-40B4-BE49-F238E27FC236}">
              <a16:creationId xmlns:a16="http://schemas.microsoft.com/office/drawing/2014/main" id="{F0B9E9D2-607F-8AF2-B96E-7164FB1A344E}"/>
            </a:ext>
          </a:extLst>
        </cdr:cNvPr>
        <cdr:cNvSpPr/>
      </cdr:nvSpPr>
      <cdr:spPr>
        <a:xfrm xmlns:a="http://schemas.openxmlformats.org/drawingml/2006/main" flipV="1">
          <a:off x="2426566" y="327659"/>
          <a:ext cx="409447" cy="69969"/>
        </a:xfrm>
        <a:prstGeom xmlns:a="http://schemas.openxmlformats.org/drawingml/2006/main" prst="triangl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US"/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136525</xdr:colOff>
      <xdr:row>1</xdr:row>
      <xdr:rowOff>174625</xdr:rowOff>
    </xdr:from>
    <xdr:to>
      <xdr:col>31</xdr:col>
      <xdr:colOff>561072</xdr:colOff>
      <xdr:row>21</xdr:row>
      <xdr:rowOff>96070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3225" y="358775"/>
          <a:ext cx="7131417" cy="3606985"/>
        </a:xfrm>
        <a:prstGeom prst="rect">
          <a:avLst/>
        </a:prstGeom>
      </xdr:spPr>
    </xdr:pic>
    <xdr:clientData/>
  </xdr:twoCellAnchor>
  <xdr:twoCellAnchor>
    <xdr:from>
      <xdr:col>21</xdr:col>
      <xdr:colOff>0</xdr:colOff>
      <xdr:row>35</xdr:row>
      <xdr:rowOff>0</xdr:rowOff>
    </xdr:from>
    <xdr:to>
      <xdr:col>30</xdr:col>
      <xdr:colOff>199531</xdr:colOff>
      <xdr:row>47</xdr:row>
      <xdr:rowOff>35862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/>
      </xdr:nvGrpSpPr>
      <xdr:grpSpPr>
        <a:xfrm>
          <a:off x="19386176" y="7451912"/>
          <a:ext cx="6250708" cy="2590803"/>
          <a:chOff x="0" y="0"/>
          <a:chExt cx="5476384" cy="2487945"/>
        </a:xfrm>
      </xdr:grpSpPr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aphicFramePr>
            <a:graphicFrameLocks/>
          </xdr:cNvGraphicFramePr>
        </xdr:nvGraphicFramePr>
        <xdr:xfrm>
          <a:off x="0" y="0"/>
          <a:ext cx="5276842" cy="24879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00000000-0008-0000-0B00-000019000000}"/>
              </a:ext>
            </a:extLst>
          </xdr:cNvPr>
          <xdr:cNvCxnSpPr>
            <a:cxnSpLocks/>
          </xdr:cNvCxnSpPr>
        </xdr:nvCxnSpPr>
        <xdr:spPr>
          <a:xfrm flipV="1">
            <a:off x="4789162" y="1579086"/>
            <a:ext cx="0" cy="281910"/>
          </a:xfrm>
          <a:prstGeom prst="line">
            <a:avLst/>
          </a:prstGeom>
          <a:ln w="12700"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00000000-0008-0000-0B00-00001A000000}"/>
              </a:ext>
            </a:extLst>
          </xdr:cNvPr>
          <xdr:cNvCxnSpPr>
            <a:cxnSpLocks/>
          </xdr:cNvCxnSpPr>
        </xdr:nvCxnSpPr>
        <xdr:spPr>
          <a:xfrm flipH="1">
            <a:off x="3267624" y="1860996"/>
            <a:ext cx="1521538" cy="0"/>
          </a:xfrm>
          <a:prstGeom prst="line">
            <a:avLst/>
          </a:prstGeom>
          <a:ln w="12700">
            <a:solidFill>
              <a:schemeClr val="tx1"/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" name="TextBox 9">
            <a:extLst>
              <a:ext uri="{FF2B5EF4-FFF2-40B4-BE49-F238E27FC236}">
                <a16:creationId xmlns:a16="http://schemas.microsoft.com/office/drawing/2014/main" id="{00000000-0008-0000-0B00-00001B000000}"/>
              </a:ext>
            </a:extLst>
          </xdr:cNvPr>
          <xdr:cNvSpPr txBox="1"/>
        </xdr:nvSpPr>
        <xdr:spPr>
          <a:xfrm>
            <a:off x="4883273" y="1599888"/>
            <a:ext cx="593111" cy="362100"/>
          </a:xfrm>
          <a:prstGeom prst="rect">
            <a:avLst/>
          </a:prstGeom>
          <a:solidFill>
            <a:schemeClr val="bg1"/>
          </a:solidFill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000" b="1">
                <a:latin typeface="Garamond" panose="02020404030301010803" pitchFamily="18" charset="0"/>
              </a:rPr>
              <a:t>Total:</a:t>
            </a:r>
          </a:p>
          <a:p>
            <a:r>
              <a:rPr lang="en-US" sz="1000" b="1">
                <a:latin typeface="Garamond" panose="02020404030301010803" pitchFamily="18" charset="0"/>
              </a:rPr>
              <a:t>1861 MW</a:t>
            </a:r>
          </a:p>
        </xdr:txBody>
      </xdr:sp>
      <xdr:sp macro="" textlink="">
        <xdr:nvSpPr>
          <xdr:cNvPr id="28" name="TextBox 42">
            <a:extLst>
              <a:ext uri="{FF2B5EF4-FFF2-40B4-BE49-F238E27FC236}">
                <a16:creationId xmlns:a16="http://schemas.microsoft.com/office/drawing/2014/main" id="{00000000-0008-0000-0B00-00001C000000}"/>
              </a:ext>
            </a:extLst>
          </xdr:cNvPr>
          <xdr:cNvSpPr txBox="1"/>
        </xdr:nvSpPr>
        <xdr:spPr>
          <a:xfrm>
            <a:off x="2701195" y="1784052"/>
            <a:ext cx="519373" cy="181050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000" b="1">
                <a:latin typeface="Garamond" panose="02020404030301010803" pitchFamily="18" charset="0"/>
              </a:rPr>
              <a:t>818 MW</a:t>
            </a:r>
          </a:p>
        </xdr:txBody>
      </xdr: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00000000-0008-0000-0B00-00001D000000}"/>
              </a:ext>
            </a:extLst>
          </xdr:cNvPr>
          <xdr:cNvCxnSpPr>
            <a:cxnSpLocks/>
          </xdr:cNvCxnSpPr>
        </xdr:nvCxnSpPr>
        <xdr:spPr>
          <a:xfrm flipV="1">
            <a:off x="3154463" y="796136"/>
            <a:ext cx="0" cy="281910"/>
          </a:xfrm>
          <a:prstGeom prst="line">
            <a:avLst/>
          </a:prstGeom>
          <a:ln w="12700"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CxnSpPr>
            <a:cxnSpLocks/>
          </xdr:cNvCxnSpPr>
        </xdr:nvCxnSpPr>
        <xdr:spPr>
          <a:xfrm flipH="1">
            <a:off x="1632925" y="1078046"/>
            <a:ext cx="1521538" cy="0"/>
          </a:xfrm>
          <a:prstGeom prst="line">
            <a:avLst/>
          </a:prstGeom>
          <a:ln w="12700">
            <a:solidFill>
              <a:schemeClr val="tx1"/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TextBox 46">
            <a:extLst>
              <a:ext uri="{FF2B5EF4-FFF2-40B4-BE49-F238E27FC236}">
                <a16:creationId xmlns:a16="http://schemas.microsoft.com/office/drawing/2014/main" id="{00000000-0008-0000-0B00-00001F000000}"/>
              </a:ext>
            </a:extLst>
          </xdr:cNvPr>
          <xdr:cNvSpPr txBox="1"/>
        </xdr:nvSpPr>
        <xdr:spPr>
          <a:xfrm>
            <a:off x="3248574" y="816938"/>
            <a:ext cx="593111" cy="362100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000" b="1">
                <a:latin typeface="Garamond" panose="02020404030301010803" pitchFamily="18" charset="0"/>
              </a:rPr>
              <a:t>Total:</a:t>
            </a:r>
          </a:p>
          <a:p>
            <a:r>
              <a:rPr lang="en-US" sz="1000" b="1">
                <a:latin typeface="Garamond" panose="02020404030301010803" pitchFamily="18" charset="0"/>
              </a:rPr>
              <a:t>1062 MW</a:t>
            </a:r>
          </a:p>
        </xdr:txBody>
      </xdr:sp>
      <xdr:sp macro="" textlink="">
        <xdr:nvSpPr>
          <xdr:cNvPr id="32" name="TextBox 47">
            <a:extLst>
              <a:ext uri="{FF2B5EF4-FFF2-40B4-BE49-F238E27FC236}">
                <a16:creationId xmlns:a16="http://schemas.microsoft.com/office/drawing/2014/main" id="{00000000-0008-0000-0B00-000020000000}"/>
              </a:ext>
            </a:extLst>
          </xdr:cNvPr>
          <xdr:cNvSpPr txBox="1"/>
        </xdr:nvSpPr>
        <xdr:spPr>
          <a:xfrm>
            <a:off x="1066496" y="1001102"/>
            <a:ext cx="479298" cy="181050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000" b="1">
                <a:latin typeface="Garamond" panose="02020404030301010803" pitchFamily="18" charset="0"/>
              </a:rPr>
              <a:t>5.3 MW</a:t>
            </a:r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80132</xdr:colOff>
      <xdr:row>59</xdr:row>
      <xdr:rowOff>49630</xdr:rowOff>
    </xdr:from>
    <xdr:to>
      <xdr:col>27</xdr:col>
      <xdr:colOff>586819</xdr:colOff>
      <xdr:row>70</xdr:row>
      <xdr:rowOff>28420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29632" y="11806201"/>
          <a:ext cx="4824233" cy="212871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9</xdr:col>
      <xdr:colOff>155921</xdr:colOff>
      <xdr:row>99</xdr:row>
      <xdr:rowOff>40343</xdr:rowOff>
    </xdr:from>
    <xdr:to>
      <xdr:col>16</xdr:col>
      <xdr:colOff>488736</xdr:colOff>
      <xdr:row>114</xdr:row>
      <xdr:rowOff>29617</xdr:rowOff>
    </xdr:to>
    <xdr:graphicFrame macro="">
      <xdr:nvGraphicFramePr>
        <xdr:cNvPr id="18" name="Chart 1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630732</xdr:colOff>
      <xdr:row>76</xdr:row>
      <xdr:rowOff>164886</xdr:rowOff>
    </xdr:from>
    <xdr:to>
      <xdr:col>16</xdr:col>
      <xdr:colOff>152451</xdr:colOff>
      <xdr:row>92</xdr:row>
      <xdr:rowOff>192101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13606</xdr:colOff>
      <xdr:row>76</xdr:row>
      <xdr:rowOff>118380</xdr:rowOff>
    </xdr:from>
    <xdr:to>
      <xdr:col>24</xdr:col>
      <xdr:colOff>367393</xdr:colOff>
      <xdr:row>92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302559</xdr:colOff>
      <xdr:row>1</xdr:row>
      <xdr:rowOff>168088</xdr:rowOff>
    </xdr:from>
    <xdr:to>
      <xdr:col>17</xdr:col>
      <xdr:colOff>463047</xdr:colOff>
      <xdr:row>29</xdr:row>
      <xdr:rowOff>56029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118" y="403412"/>
          <a:ext cx="13663576" cy="522194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4a6f56859bbe272/&#47928;&#49436;/2024/1.%20&#45436;&#47928;/2.%20C1%20refinery/2.%20Raw%20result/240814_C1%20Refinery_w_CCS.xlsx" TargetMode="External"/><Relationship Id="rId1" Type="http://schemas.openxmlformats.org/officeDocument/2006/relationships/externalLinkPath" Target="240814_C1%20Refinery_w_C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DB_Experiment_VER1"/>
      <sheetName val="1. DB_Experiment_VER2"/>
      <sheetName val="2. Aspen_stream info"/>
      <sheetName val="2. Aspen_Utility"/>
      <sheetName val="5. HEN_equip"/>
      <sheetName val="3. UPC &amp; MSP (fixed)"/>
      <sheetName val="Previous_Technical performance"/>
      <sheetName val="2. Eqipment cost"/>
      <sheetName val="3. CEF &amp; EEF"/>
      <sheetName val="4-1. UPC &amp; NCE(Grid)"/>
      <sheetName val="4-2. UPC &amp; NCE(RE)"/>
      <sheetName val="5. Sensitivity analysis"/>
      <sheetName val="5. Sensitivity"/>
      <sheetName val="5. HEN_Worksheet_Case4"/>
      <sheetName val="Previous_Economic Analysis"/>
      <sheetName val="Previous_Equipment cost"/>
      <sheetName val="DB_Aspen simulation_previous"/>
      <sheetName val="DB_APEA_EXECUTIVE SUMMARY"/>
      <sheetName val="DB_APEA_PROJSUM.ICS"/>
      <sheetName val="DB_APEA_CASHFLOW.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Case 1_FH</v>
          </cell>
          <cell r="E3" t="str">
            <v>Case 2_FH</v>
          </cell>
          <cell r="F3" t="str">
            <v>Case 3_FH</v>
          </cell>
          <cell r="G3" t="str">
            <v>Case 4_FH</v>
          </cell>
          <cell r="H3" t="str">
            <v>Case 1_EF</v>
          </cell>
          <cell r="I3" t="str">
            <v>Case 2_EF</v>
          </cell>
          <cell r="J3" t="str">
            <v>Case 3_EF</v>
          </cell>
          <cell r="K3" t="str">
            <v>Case 4_EF</v>
          </cell>
        </row>
        <row r="4">
          <cell r="B4" t="str">
            <v>Catalytic conversion</v>
          </cell>
          <cell r="D4">
            <v>365310556.98075145</v>
          </cell>
          <cell r="E4">
            <v>287851133.81864643</v>
          </cell>
          <cell r="F4">
            <v>249323826.1706017</v>
          </cell>
          <cell r="G4">
            <v>223837036.42283756</v>
          </cell>
          <cell r="H4">
            <v>463857142.85714287</v>
          </cell>
          <cell r="I4">
            <v>325023809.52380949</v>
          </cell>
          <cell r="J4">
            <v>262285714.28571427</v>
          </cell>
          <cell r="K4">
            <v>223293650.79365075</v>
          </cell>
        </row>
        <row r="5">
          <cell r="B5" t="str">
            <v>Compressor</v>
          </cell>
          <cell r="D5">
            <v>500284109.6547454</v>
          </cell>
          <cell r="E5">
            <v>420440311.36964452</v>
          </cell>
          <cell r="F5">
            <v>353122273.71876049</v>
          </cell>
          <cell r="G5">
            <v>296940127.135355</v>
          </cell>
          <cell r="H5">
            <v>500284109.6547454</v>
          </cell>
          <cell r="I5">
            <v>420440311.36964452</v>
          </cell>
          <cell r="J5">
            <v>353122273.71876049</v>
          </cell>
          <cell r="K5">
            <v>296940127.135355</v>
          </cell>
        </row>
        <row r="6">
          <cell r="B6" t="str">
            <v>Flash tank &amp; column</v>
          </cell>
          <cell r="D6">
            <v>23807200</v>
          </cell>
          <cell r="E6">
            <v>18646000</v>
          </cell>
          <cell r="F6">
            <v>19547800</v>
          </cell>
          <cell r="G6">
            <v>29837400</v>
          </cell>
          <cell r="H6">
            <v>23807200</v>
          </cell>
          <cell r="I6">
            <v>18646000</v>
          </cell>
          <cell r="J6">
            <v>19547800</v>
          </cell>
          <cell r="K6">
            <v>29837400</v>
          </cell>
        </row>
        <row r="7">
          <cell r="B7" t="str">
            <v>Heat exchanger, heater, cooler</v>
          </cell>
          <cell r="D7">
            <v>41871189.731092587</v>
          </cell>
          <cell r="E7">
            <v>29320948.23264204</v>
          </cell>
          <cell r="F7">
            <v>15517790.409398418</v>
          </cell>
          <cell r="G7">
            <v>33563300.763974085</v>
          </cell>
          <cell r="H7">
            <v>41871189.731092587</v>
          </cell>
          <cell r="I7">
            <v>29320948.23264204</v>
          </cell>
          <cell r="J7">
            <v>15517790.409398418</v>
          </cell>
          <cell r="K7">
            <v>134227314.57202512</v>
          </cell>
        </row>
        <row r="8">
          <cell r="B8" t="str">
            <v>H2PSA</v>
          </cell>
          <cell r="D8">
            <v>53705975.33563529</v>
          </cell>
          <cell r="E8">
            <v>58455132.60656698</v>
          </cell>
          <cell r="F8">
            <v>59466357.279898524</v>
          </cell>
          <cell r="G8">
            <v>60946714.352382183</v>
          </cell>
          <cell r="H8">
            <v>53705975.33563529</v>
          </cell>
          <cell r="I8">
            <v>58455132.60656698</v>
          </cell>
          <cell r="J8">
            <v>59466357.279898524</v>
          </cell>
          <cell r="K8">
            <v>60946714.352382183</v>
          </cell>
        </row>
        <row r="10">
          <cell r="B10" t="str">
            <v>Storage</v>
          </cell>
          <cell r="D10">
            <v>42895459.669885643</v>
          </cell>
          <cell r="E10">
            <v>39448461.164383493</v>
          </cell>
          <cell r="F10">
            <v>38466381.253117822</v>
          </cell>
          <cell r="G10">
            <v>36166499.455668882</v>
          </cell>
          <cell r="H10">
            <v>42895459.669885643</v>
          </cell>
          <cell r="I10">
            <v>39448461.164383493</v>
          </cell>
          <cell r="J10">
            <v>38466381.253117822</v>
          </cell>
          <cell r="K10">
            <v>36166499.455668882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Custom 1">
    <a:majorFont>
      <a:latin typeface="Garamond"/>
      <a:ea typeface=""/>
      <a:cs typeface=""/>
    </a:majorFont>
    <a:minorFont>
      <a:latin typeface="Garamond"/>
      <a:ea typeface="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doi.org/10.1016/j.joule.2018.01.00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4"/>
  <sheetViews>
    <sheetView zoomScale="85" zoomScaleNormal="85" workbookViewId="0">
      <selection activeCell="C40" sqref="C40"/>
    </sheetView>
  </sheetViews>
  <sheetFormatPr defaultColWidth="8.875" defaultRowHeight="15"/>
  <cols>
    <col min="1" max="1" width="45.75" style="1" bestFit="1" customWidth="1"/>
    <col min="2" max="2" width="8.875" style="1" customWidth="1"/>
    <col min="3" max="3" width="27.125" style="1" bestFit="1" customWidth="1"/>
    <col min="4" max="4" width="11.25" style="1" bestFit="1" customWidth="1"/>
    <col min="5" max="7" width="10.75" style="1" bestFit="1" customWidth="1"/>
    <col min="8" max="8" width="24.5" style="31" bestFit="1" customWidth="1"/>
    <col min="9" max="9" width="11.875" style="1" bestFit="1" customWidth="1"/>
    <col min="10" max="12" width="8.875" style="1"/>
    <col min="13" max="13" width="21.5" style="1" bestFit="1" customWidth="1"/>
    <col min="14" max="14" width="9.5" style="1" customWidth="1"/>
    <col min="15" max="17" width="8.875" style="1"/>
    <col min="18" max="18" width="27.125" style="1" bestFit="1" customWidth="1"/>
    <col min="19" max="16384" width="8.875" style="1"/>
  </cols>
  <sheetData>
    <row r="1" spans="1:11">
      <c r="C1" s="2" t="s">
        <v>0</v>
      </c>
      <c r="D1" s="2" t="s">
        <v>48</v>
      </c>
      <c r="E1" s="2" t="s">
        <v>49</v>
      </c>
      <c r="F1" s="2" t="s">
        <v>50</v>
      </c>
      <c r="G1" s="2" t="s">
        <v>51</v>
      </c>
      <c r="H1" s="31" t="s">
        <v>74</v>
      </c>
    </row>
    <row r="2" spans="1:11">
      <c r="A2" s="1" t="s">
        <v>2</v>
      </c>
      <c r="C2" s="2" t="s">
        <v>3</v>
      </c>
      <c r="D2" s="2"/>
    </row>
    <row r="3" spans="1:11" ht="15.75" thickBot="1">
      <c r="C3" s="2" t="s">
        <v>67</v>
      </c>
      <c r="D3" s="2"/>
    </row>
    <row r="4" spans="1:11">
      <c r="A4" s="1" t="s">
        <v>4</v>
      </c>
      <c r="C4" s="2"/>
      <c r="D4" s="2"/>
      <c r="J4" s="3" t="s">
        <v>7</v>
      </c>
      <c r="K4" s="4" t="s">
        <v>8</v>
      </c>
    </row>
    <row r="5" spans="1:11" ht="18" thickBot="1">
      <c r="A5" s="10" t="s">
        <v>19</v>
      </c>
      <c r="B5" s="8"/>
      <c r="C5" s="10">
        <v>500</v>
      </c>
      <c r="D5" s="2" t="s">
        <v>1</v>
      </c>
      <c r="J5" s="5">
        <v>1</v>
      </c>
      <c r="K5" s="6">
        <v>453.59199999999998</v>
      </c>
    </row>
    <row r="6" spans="1:11">
      <c r="C6" s="2"/>
      <c r="D6" s="2"/>
    </row>
    <row r="7" spans="1:11">
      <c r="A7" s="1" t="s">
        <v>5</v>
      </c>
      <c r="C7" s="2"/>
      <c r="D7" s="2"/>
      <c r="J7" s="1">
        <v>43.5</v>
      </c>
    </row>
    <row r="8" spans="1:11" ht="17.25">
      <c r="A8" s="10" t="s">
        <v>18</v>
      </c>
      <c r="B8" s="8"/>
      <c r="C8" s="10">
        <v>2500</v>
      </c>
      <c r="D8" s="10">
        <v>1114</v>
      </c>
      <c r="E8" s="10">
        <v>1114</v>
      </c>
      <c r="F8" s="10">
        <v>1114</v>
      </c>
      <c r="G8" s="10">
        <v>1114</v>
      </c>
      <c r="H8" s="31">
        <v>1230</v>
      </c>
    </row>
    <row r="9" spans="1:11">
      <c r="A9" s="2" t="s">
        <v>9</v>
      </c>
      <c r="C9" s="7">
        <v>43.5</v>
      </c>
      <c r="D9" s="2"/>
      <c r="E9" s="2"/>
      <c r="F9" s="2"/>
      <c r="G9" s="2"/>
    </row>
    <row r="10" spans="1:11">
      <c r="A10" s="2" t="s">
        <v>10</v>
      </c>
      <c r="C10" s="7">
        <f>C9*K5</f>
        <v>19731.252</v>
      </c>
      <c r="D10" s="2"/>
      <c r="E10" s="2"/>
      <c r="F10" s="2"/>
      <c r="G10" s="2"/>
    </row>
    <row r="11" spans="1:11">
      <c r="A11" s="2" t="s">
        <v>26</v>
      </c>
      <c r="C11" s="7"/>
      <c r="D11" s="2">
        <v>20</v>
      </c>
      <c r="E11" s="2">
        <v>20</v>
      </c>
      <c r="F11" s="2">
        <v>20</v>
      </c>
      <c r="G11" s="2">
        <v>20</v>
      </c>
      <c r="H11" s="31">
        <v>14.4</v>
      </c>
    </row>
    <row r="12" spans="1:11" s="8" customFormat="1">
      <c r="A12" s="10" t="s">
        <v>6</v>
      </c>
      <c r="C12" s="9">
        <f>C10/16</f>
        <v>1233.20325</v>
      </c>
      <c r="D12" s="12">
        <f>D11*60/22400</f>
        <v>5.3571428571428568E-2</v>
      </c>
      <c r="E12" s="12">
        <f>E11*60/22400</f>
        <v>5.3571428571428568E-2</v>
      </c>
      <c r="F12" s="12">
        <f>F11*60/22400</f>
        <v>5.3571428571428568E-2</v>
      </c>
      <c r="G12" s="12">
        <f>G11*60/22400</f>
        <v>5.3571428571428568E-2</v>
      </c>
      <c r="H12" s="32">
        <f>H11*60/22400</f>
        <v>3.8571428571428569E-2</v>
      </c>
    </row>
    <row r="13" spans="1:11" s="8" customFormat="1">
      <c r="A13" s="13" t="s">
        <v>27</v>
      </c>
      <c r="B13" s="14"/>
      <c r="C13" s="15"/>
      <c r="D13" s="16">
        <v>60</v>
      </c>
      <c r="E13" s="16">
        <v>60</v>
      </c>
      <c r="F13" s="16">
        <v>60</v>
      </c>
      <c r="G13" s="16">
        <v>60</v>
      </c>
      <c r="H13" s="31">
        <v>64</v>
      </c>
    </row>
    <row r="14" spans="1:11" s="8" customFormat="1">
      <c r="A14" s="10" t="s">
        <v>28</v>
      </c>
      <c r="C14" s="9"/>
      <c r="D14" s="12">
        <f>D13*60/22400</f>
        <v>0.16071428571428573</v>
      </c>
      <c r="E14" s="12">
        <f>E13*60/22400</f>
        <v>0.16071428571428573</v>
      </c>
      <c r="F14" s="12">
        <f>F13*60/22400</f>
        <v>0.16071428571428573</v>
      </c>
      <c r="G14" s="12">
        <f>G13*60/22400</f>
        <v>0.16071428571428573</v>
      </c>
      <c r="H14" s="32">
        <f>H13*60/22400</f>
        <v>0.17142857142857143</v>
      </c>
      <c r="I14" s="8" t="s">
        <v>584</v>
      </c>
      <c r="J14" s="8">
        <f>H14/H12</f>
        <v>4.4444444444444446</v>
      </c>
    </row>
    <row r="15" spans="1:11">
      <c r="A15" s="2" t="s">
        <v>11</v>
      </c>
      <c r="C15" s="2">
        <v>55.6</v>
      </c>
      <c r="D15" s="2"/>
    </row>
    <row r="16" spans="1:11">
      <c r="A16" s="2" t="s">
        <v>14</v>
      </c>
      <c r="C16" s="7">
        <f>C15*K5</f>
        <v>25219.715199999999</v>
      </c>
      <c r="D16" s="2"/>
    </row>
    <row r="17" spans="1:8" s="8" customFormat="1">
      <c r="A17" s="10" t="s">
        <v>15</v>
      </c>
      <c r="C17" s="9">
        <f>C16/16</f>
        <v>1576.2321999999999</v>
      </c>
      <c r="D17" s="10"/>
      <c r="H17" s="31"/>
    </row>
    <row r="18" spans="1:8">
      <c r="A18" s="2" t="s">
        <v>12</v>
      </c>
      <c r="C18" s="2">
        <v>182.8</v>
      </c>
      <c r="D18" s="2"/>
    </row>
    <row r="19" spans="1:8">
      <c r="A19" s="2" t="s">
        <v>16</v>
      </c>
      <c r="C19" s="7">
        <f>C18*K5</f>
        <v>82916.617599999998</v>
      </c>
      <c r="D19" s="2"/>
    </row>
    <row r="20" spans="1:8" s="8" customFormat="1">
      <c r="A20" s="10" t="s">
        <v>17</v>
      </c>
      <c r="C20" s="9">
        <f>C19/32</f>
        <v>2591.1442999999999</v>
      </c>
      <c r="D20" s="10"/>
      <c r="H20" s="31"/>
    </row>
    <row r="21" spans="1:8" s="8" customFormat="1">
      <c r="A21" s="10" t="s">
        <v>52</v>
      </c>
      <c r="C21" s="9">
        <v>1114</v>
      </c>
      <c r="D21" s="10"/>
      <c r="H21" s="31"/>
    </row>
    <row r="22" spans="1:8">
      <c r="A22" s="10" t="s">
        <v>13</v>
      </c>
      <c r="B22" s="8"/>
      <c r="C22" s="10">
        <v>88.4</v>
      </c>
      <c r="D22" s="10"/>
      <c r="E22" s="8"/>
      <c r="F22" s="8"/>
      <c r="G22" s="8"/>
    </row>
    <row r="23" spans="1:8">
      <c r="C23" s="2"/>
      <c r="D23" s="2"/>
    </row>
    <row r="27" spans="1:8">
      <c r="A27" s="1" t="s">
        <v>34</v>
      </c>
      <c r="C27" s="1">
        <v>51.3</v>
      </c>
      <c r="D27" s="1">
        <v>5.8</v>
      </c>
      <c r="E27" s="1">
        <v>10</v>
      </c>
      <c r="F27" s="1">
        <v>20</v>
      </c>
      <c r="G27" s="1">
        <v>30</v>
      </c>
      <c r="H27" s="33">
        <v>30.353962661239862</v>
      </c>
    </row>
    <row r="28" spans="1:8">
      <c r="A28" s="14"/>
      <c r="B28" s="14"/>
      <c r="D28" s="15"/>
      <c r="H28" s="33"/>
    </row>
    <row r="29" spans="1:8">
      <c r="A29" s="1" t="s">
        <v>29</v>
      </c>
      <c r="B29" s="14"/>
      <c r="D29" s="15"/>
      <c r="H29" s="33"/>
    </row>
    <row r="30" spans="1:8">
      <c r="A30" s="14" t="s">
        <v>30</v>
      </c>
      <c r="B30" s="14"/>
      <c r="D30" s="15">
        <v>5.5</v>
      </c>
      <c r="E30" s="15">
        <v>5.5</v>
      </c>
      <c r="F30" s="15">
        <v>5.5</v>
      </c>
      <c r="G30" s="15">
        <v>5.5</v>
      </c>
      <c r="H30" s="33">
        <v>1.9832375743992701</v>
      </c>
    </row>
    <row r="31" spans="1:8">
      <c r="A31" s="14" t="s">
        <v>23</v>
      </c>
      <c r="B31" s="14"/>
      <c r="D31" s="15">
        <v>60.3</v>
      </c>
      <c r="E31" s="15">
        <v>60.3</v>
      </c>
      <c r="F31" s="15">
        <v>60.3</v>
      </c>
      <c r="G31" s="15">
        <v>60.3</v>
      </c>
      <c r="H31" s="33">
        <v>35.180965793283235</v>
      </c>
    </row>
    <row r="32" spans="1:8">
      <c r="A32" s="14" t="s">
        <v>24</v>
      </c>
      <c r="B32" s="14"/>
      <c r="D32" s="15">
        <v>2.9</v>
      </c>
      <c r="E32" s="15">
        <v>2.9</v>
      </c>
      <c r="F32" s="15">
        <v>2.9</v>
      </c>
      <c r="G32" s="15">
        <v>2.9</v>
      </c>
      <c r="H32" s="33">
        <v>41.411785543457484</v>
      </c>
    </row>
    <row r="33" spans="1:19">
      <c r="A33" s="14" t="s">
        <v>31</v>
      </c>
      <c r="B33" s="14"/>
      <c r="D33" s="17">
        <v>1.3</v>
      </c>
      <c r="E33" s="17">
        <v>1.3</v>
      </c>
      <c r="F33" s="17">
        <v>1.3</v>
      </c>
      <c r="G33" s="17">
        <v>1.3</v>
      </c>
      <c r="H33" s="33">
        <v>0</v>
      </c>
    </row>
    <row r="34" spans="1:19">
      <c r="A34" s="14" t="s">
        <v>32</v>
      </c>
      <c r="B34" s="14"/>
      <c r="D34" s="17">
        <v>4.3</v>
      </c>
      <c r="E34" s="17">
        <v>4.3</v>
      </c>
      <c r="F34" s="17">
        <v>4.3</v>
      </c>
      <c r="G34" s="17">
        <v>4.3</v>
      </c>
      <c r="H34" s="33">
        <v>7.478987838505045</v>
      </c>
    </row>
    <row r="35" spans="1:19">
      <c r="A35" s="14" t="s">
        <v>33</v>
      </c>
      <c r="B35" s="14"/>
      <c r="D35" s="17">
        <v>25.6</v>
      </c>
      <c r="E35" s="17">
        <v>25.6</v>
      </c>
      <c r="F35" s="17">
        <v>25.6</v>
      </c>
      <c r="G35" s="17">
        <v>25.6</v>
      </c>
      <c r="H35" s="33">
        <v>2.6768978031685888</v>
      </c>
    </row>
    <row r="36" spans="1:19">
      <c r="A36" s="14" t="s">
        <v>70</v>
      </c>
      <c r="B36" s="14"/>
      <c r="D36" s="17"/>
      <c r="E36" s="17"/>
      <c r="F36" s="17"/>
      <c r="G36" s="17"/>
      <c r="H36" s="33">
        <v>11.268125447186399</v>
      </c>
    </row>
    <row r="37" spans="1:19" ht="15.75" thickBot="1">
      <c r="A37" s="14" t="s">
        <v>25</v>
      </c>
      <c r="B37" s="14"/>
      <c r="D37" s="17">
        <f>SUM(D30:D35)</f>
        <v>99.9</v>
      </c>
      <c r="E37" s="17">
        <f>SUM(E30:E35)</f>
        <v>99.9</v>
      </c>
      <c r="F37" s="17">
        <f>SUM(F30:F35)</f>
        <v>99.9</v>
      </c>
      <c r="G37" s="17">
        <f>SUM(G30:G35)</f>
        <v>99.9</v>
      </c>
      <c r="H37" s="33">
        <f>SUM(H30:H36)</f>
        <v>100.00000000000003</v>
      </c>
    </row>
    <row r="38" spans="1:19">
      <c r="H38" s="33"/>
      <c r="L38" s="14">
        <v>-253</v>
      </c>
      <c r="M38" s="21" t="s">
        <v>38</v>
      </c>
      <c r="N38" s="22" t="s">
        <v>44</v>
      </c>
      <c r="O38" s="29" t="s">
        <v>45</v>
      </c>
      <c r="P38" s="22" t="s">
        <v>46</v>
      </c>
      <c r="Q38" s="22" t="s">
        <v>47</v>
      </c>
      <c r="R38" s="39" t="s">
        <v>71</v>
      </c>
    </row>
    <row r="39" spans="1:19">
      <c r="A39" s="1" t="s">
        <v>60</v>
      </c>
      <c r="B39" s="14"/>
      <c r="D39" s="17"/>
      <c r="H39" s="33"/>
      <c r="L39" s="14">
        <v>-164</v>
      </c>
      <c r="M39" s="23" t="s">
        <v>35</v>
      </c>
      <c r="N39" s="24">
        <f>D12*D27/100*2</f>
        <v>6.214285714285713E-3</v>
      </c>
      <c r="O39" s="27">
        <f>E12*E27/100*2</f>
        <v>1.0714285714285714E-2</v>
      </c>
      <c r="P39" s="24">
        <f>F12*F27/100*2</f>
        <v>2.1428571428571429E-2</v>
      </c>
      <c r="Q39" s="24">
        <f>G12*G27/100*2</f>
        <v>3.214285714285714E-2</v>
      </c>
      <c r="R39" s="37">
        <f>H12*H27/100*2</f>
        <v>2.3415914052956465E-2</v>
      </c>
      <c r="S39" s="1">
        <f t="shared" ref="S39:S45" si="0">Q39/$Q$48*100</f>
        <v>48.056121861354569</v>
      </c>
    </row>
    <row r="40" spans="1:19">
      <c r="A40" s="1" t="s">
        <v>61</v>
      </c>
      <c r="B40" s="14"/>
      <c r="C40" s="30">
        <f>$C$42*C54/$C$56</f>
        <v>1544.3951821524893</v>
      </c>
      <c r="D40" s="20">
        <f>D14+N47</f>
        <v>0.16432820357142858</v>
      </c>
      <c r="E40" s="20">
        <f>E14+O47</f>
        <v>0.16882820357142858</v>
      </c>
      <c r="F40" s="20">
        <f>F14+P47</f>
        <v>0.17954248928571431</v>
      </c>
      <c r="G40" s="20">
        <f>G14+Q47</f>
        <v>0.19025677500000002</v>
      </c>
      <c r="H40" s="34">
        <f>H14+R47</f>
        <v>0.18738979883402324</v>
      </c>
      <c r="I40" s="1">
        <f>H40*10000</f>
        <v>1873.8979883402324</v>
      </c>
      <c r="L40" s="14">
        <v>-89</v>
      </c>
      <c r="M40" s="23" t="s">
        <v>30</v>
      </c>
      <c r="N40" s="24">
        <f>D43*3</f>
        <v>2.5633928571428514E-4</v>
      </c>
      <c r="O40" s="27">
        <f>E43*3</f>
        <v>2.5633928571428514E-4</v>
      </c>
      <c r="P40" s="24">
        <f>F43*3</f>
        <v>2.5633928571428514E-4</v>
      </c>
      <c r="Q40" s="24">
        <f>G43*3</f>
        <v>2.5633928571428514E-4</v>
      </c>
      <c r="R40" s="37">
        <f>H43*3</f>
        <v>3.4829490441545363E-4</v>
      </c>
      <c r="S40" s="1">
        <f t="shared" si="0"/>
        <v>0.38324757184430186</v>
      </c>
    </row>
    <row r="41" spans="1:19">
      <c r="A41" s="1" t="s">
        <v>62</v>
      </c>
      <c r="B41" s="14"/>
      <c r="C41" s="30">
        <f>$C$42*C55/$C$56</f>
        <v>859.26122882365144</v>
      </c>
      <c r="D41" s="17"/>
      <c r="H41" s="34"/>
      <c r="I41" s="1">
        <f t="shared" ref="I41:I49" si="1">H41*10000</f>
        <v>0</v>
      </c>
      <c r="L41" s="14">
        <v>-104</v>
      </c>
      <c r="M41" s="23" t="s">
        <v>23</v>
      </c>
      <c r="N41" s="24">
        <f>D44*2</f>
        <v>1.8736071428571385E-3</v>
      </c>
      <c r="O41" s="27">
        <f>E44*2</f>
        <v>1.8736071428571385E-3</v>
      </c>
      <c r="P41" s="24">
        <f>F44*2</f>
        <v>1.8736071428571385E-3</v>
      </c>
      <c r="Q41" s="24">
        <f>G44*2</f>
        <v>1.8736071428571385E-3</v>
      </c>
      <c r="R41" s="37">
        <f>H44*2</f>
        <v>4.118972356577608E-3</v>
      </c>
      <c r="S41" s="1">
        <f t="shared" si="0"/>
        <v>2.8011913432983517</v>
      </c>
    </row>
    <row r="42" spans="1:19">
      <c r="A42" s="14" t="s">
        <v>35</v>
      </c>
      <c r="B42" s="14"/>
      <c r="C42" s="30">
        <f>C12*C27/100</f>
        <v>632.63326725000002</v>
      </c>
      <c r="D42" s="19">
        <f>D12*(100-D27)/100</f>
        <v>5.0464285714285718E-2</v>
      </c>
      <c r="E42" s="19">
        <f>E12*(100-E27)/100</f>
        <v>4.821428571428571E-2</v>
      </c>
      <c r="F42" s="19">
        <f>F12*(100-F27)/100</f>
        <v>4.2857142857142858E-2</v>
      </c>
      <c r="G42" s="19">
        <f>G12*(100-G27)/100</f>
        <v>3.7499999999999999E-2</v>
      </c>
      <c r="H42" s="34">
        <f>H12*(100-H27)/100</f>
        <v>2.6863471544950338E-2</v>
      </c>
      <c r="I42" s="1">
        <f t="shared" si="1"/>
        <v>268.6347154495034</v>
      </c>
      <c r="L42" s="14">
        <v>-84</v>
      </c>
      <c r="M42" s="23" t="s">
        <v>24</v>
      </c>
      <c r="N42" s="24">
        <f>D45*1</f>
        <v>4.5053571428571321E-5</v>
      </c>
      <c r="O42" s="27">
        <f>E45*1</f>
        <v>4.5053571428571321E-5</v>
      </c>
      <c r="P42" s="24">
        <f>F45*1</f>
        <v>4.5053571428571321E-5</v>
      </c>
      <c r="Q42" s="24">
        <f>G45*1</f>
        <v>4.5053571428571321E-5</v>
      </c>
      <c r="R42" s="37">
        <f>H45*1</f>
        <v>2.4242370276626631E-3</v>
      </c>
      <c r="S42" s="1">
        <f t="shared" si="0"/>
        <v>6.7358664142331826E-2</v>
      </c>
    </row>
    <row r="43" spans="1:19">
      <c r="A43" s="14" t="s">
        <v>30</v>
      </c>
      <c r="B43" s="14"/>
      <c r="C43" s="30"/>
      <c r="D43" s="19">
        <f t="shared" ref="D43:G45" si="2">($D$12-$D$42)*D30/100/2</f>
        <v>8.5446428571428381E-5</v>
      </c>
      <c r="E43" s="19">
        <f t="shared" si="2"/>
        <v>8.5446428571428381E-5</v>
      </c>
      <c r="F43" s="19">
        <f t="shared" si="2"/>
        <v>8.5446428571428381E-5</v>
      </c>
      <c r="G43" s="19">
        <f t="shared" si="2"/>
        <v>8.5446428571428381E-5</v>
      </c>
      <c r="H43" s="34">
        <f>($H$12-$H$42)*H30/100/2</f>
        <v>1.1609830147181789E-4</v>
      </c>
      <c r="I43" s="1">
        <f t="shared" si="1"/>
        <v>1.1609830147181788</v>
      </c>
      <c r="L43" s="14">
        <v>-84</v>
      </c>
      <c r="M43" s="23" t="s">
        <v>31</v>
      </c>
      <c r="N43" s="24">
        <f t="shared" ref="N43:Q44" si="3">D46*3</f>
        <v>4.0392857142857053E-5</v>
      </c>
      <c r="O43" s="27">
        <f t="shared" si="3"/>
        <v>4.0392857142857053E-5</v>
      </c>
      <c r="P43" s="24">
        <f t="shared" si="3"/>
        <v>4.0392857142857053E-5</v>
      </c>
      <c r="Q43" s="24">
        <f t="shared" si="3"/>
        <v>4.0392857142857053E-5</v>
      </c>
      <c r="R43" s="37">
        <f>H46*3</f>
        <v>0</v>
      </c>
      <c r="S43" s="1">
        <f t="shared" si="0"/>
        <v>6.0390526472435452E-2</v>
      </c>
    </row>
    <row r="44" spans="1:19">
      <c r="A44" s="14" t="s">
        <v>23</v>
      </c>
      <c r="B44" s="14"/>
      <c r="C44" s="30">
        <f>$C$42*C58/$C$56</f>
        <v>21.000274431535267</v>
      </c>
      <c r="D44" s="19">
        <f t="shared" si="2"/>
        <v>9.3680357142856923E-4</v>
      </c>
      <c r="E44" s="19">
        <f t="shared" si="2"/>
        <v>9.3680357142856923E-4</v>
      </c>
      <c r="F44" s="19">
        <f t="shared" si="2"/>
        <v>9.3680357142856923E-4</v>
      </c>
      <c r="G44" s="19">
        <f t="shared" si="2"/>
        <v>9.3680357142856923E-4</v>
      </c>
      <c r="H44" s="34">
        <f>($H$12-$H$42)*H31/100/2</f>
        <v>2.059486178288804E-3</v>
      </c>
      <c r="I44" s="1">
        <f t="shared" si="1"/>
        <v>20.594861782888039</v>
      </c>
      <c r="L44" s="40" t="s">
        <v>75</v>
      </c>
      <c r="M44" s="23" t="s">
        <v>32</v>
      </c>
      <c r="N44" s="24">
        <f t="shared" si="3"/>
        <v>6.6803571428571267E-5</v>
      </c>
      <c r="O44" s="27">
        <f t="shared" si="3"/>
        <v>6.6803571428571267E-5</v>
      </c>
      <c r="P44" s="24">
        <f t="shared" si="3"/>
        <v>6.6803571428571267E-5</v>
      </c>
      <c r="Q44" s="24">
        <f t="shared" si="3"/>
        <v>6.6803571428571267E-5</v>
      </c>
      <c r="R44" s="37">
        <f>H47*3</f>
        <v>4.3781834107385197E-4</v>
      </c>
      <c r="S44" s="1">
        <f t="shared" si="0"/>
        <v>9.9876639935181685E-2</v>
      </c>
    </row>
    <row r="45" spans="1:19">
      <c r="A45" s="14" t="s">
        <v>24</v>
      </c>
      <c r="B45" s="14"/>
      <c r="C45" s="30">
        <f>$C$42*C59/$C$56</f>
        <v>200.37761853423234</v>
      </c>
      <c r="D45" s="19">
        <f t="shared" si="2"/>
        <v>4.5053571428571321E-5</v>
      </c>
      <c r="E45" s="19">
        <f t="shared" si="2"/>
        <v>4.5053571428571321E-5</v>
      </c>
      <c r="F45" s="19">
        <f t="shared" si="2"/>
        <v>4.5053571428571321E-5</v>
      </c>
      <c r="G45" s="19">
        <f t="shared" si="2"/>
        <v>4.5053571428571321E-5</v>
      </c>
      <c r="H45" s="34">
        <f>($H$12-$H$42)*H32/100/2</f>
        <v>2.4242370276626631E-3</v>
      </c>
      <c r="I45" s="1">
        <f t="shared" si="1"/>
        <v>24.24237027662663</v>
      </c>
      <c r="L45" s="14">
        <v>80</v>
      </c>
      <c r="M45" s="23" t="s">
        <v>33</v>
      </c>
      <c r="N45" s="24">
        <f>D48*4</f>
        <v>3.1817142857142793E-4</v>
      </c>
      <c r="O45" s="27">
        <f>E48*4</f>
        <v>3.1817142857142793E-4</v>
      </c>
      <c r="P45" s="24">
        <f>F48*4</f>
        <v>3.1817142857142793E-4</v>
      </c>
      <c r="Q45" s="24">
        <f>G48*4</f>
        <v>3.1817142857142793E-4</v>
      </c>
      <c r="R45" s="37">
        <f>H48*4</f>
        <v>1.2536401777508727E-4</v>
      </c>
      <c r="S45" s="1">
        <f t="shared" si="0"/>
        <v>0.47569153159826083</v>
      </c>
    </row>
    <row r="46" spans="1:19">
      <c r="A46" s="14" t="s">
        <v>31</v>
      </c>
      <c r="B46" s="14"/>
      <c r="C46" s="30"/>
      <c r="D46" s="19">
        <f>($D$12-$D$42)*D33/100/3</f>
        <v>1.3464285714285684E-5</v>
      </c>
      <c r="E46" s="19">
        <f>($D$12-$D$42)*E33/100/3</f>
        <v>1.3464285714285684E-5</v>
      </c>
      <c r="F46" s="19">
        <f>($D$12-$D$42)*F33/100/3</f>
        <v>1.3464285714285684E-5</v>
      </c>
      <c r="G46" s="19">
        <f>($D$12-$D$42)*G33/100/3</f>
        <v>1.3464285714285684E-5</v>
      </c>
      <c r="H46" s="34">
        <f>($H$12-$H$42)*H33/100/3</f>
        <v>0</v>
      </c>
      <c r="I46" s="1">
        <f t="shared" si="1"/>
        <v>0</v>
      </c>
      <c r="L46" s="41">
        <v>218</v>
      </c>
      <c r="M46" s="23" t="s">
        <v>36</v>
      </c>
      <c r="N46" s="24">
        <f>SUM(N40:N45)</f>
        <v>2.6003678571428512E-3</v>
      </c>
      <c r="O46" s="27">
        <f>SUM(O40:O45)</f>
        <v>2.6003678571428512E-3</v>
      </c>
      <c r="P46" s="24">
        <f>SUM(P40:P45)</f>
        <v>2.6003678571428512E-3</v>
      </c>
      <c r="Q46" s="24">
        <f>SUM(Q40:Q45)</f>
        <v>2.6003678571428512E-3</v>
      </c>
      <c r="R46" s="37">
        <f>SUM(R40:R45)</f>
        <v>7.4546866475046639E-3</v>
      </c>
      <c r="S46" s="1">
        <f>(Q46+Q47)/Q48*100</f>
        <v>48.056121861354569</v>
      </c>
    </row>
    <row r="47" spans="1:19" ht="15.75" thickBot="1">
      <c r="A47" s="14" t="s">
        <v>32</v>
      </c>
      <c r="B47" s="14"/>
      <c r="C47" s="30"/>
      <c r="D47" s="19">
        <f>($D$12-$D$42)*D34/100/6</f>
        <v>2.226785714285709E-5</v>
      </c>
      <c r="E47" s="19">
        <f>($D$12-$D$42)*E34/100/6</f>
        <v>2.226785714285709E-5</v>
      </c>
      <c r="F47" s="19">
        <f>($D$12-$D$42)*F34/100/6</f>
        <v>2.226785714285709E-5</v>
      </c>
      <c r="G47" s="19">
        <f>($D$12-$D$42)*G34/100/6</f>
        <v>2.226785714285709E-5</v>
      </c>
      <c r="H47" s="34">
        <f>($H$12-$H$42)*H34/100/6</f>
        <v>1.4593944702461731E-4</v>
      </c>
      <c r="I47" s="1">
        <f t="shared" si="1"/>
        <v>1.4593944702461732</v>
      </c>
      <c r="M47" s="25" t="s">
        <v>39</v>
      </c>
      <c r="N47" s="26">
        <f>N39-N46</f>
        <v>3.6139178571428618E-3</v>
      </c>
      <c r="O47" s="28">
        <f>O39-O46</f>
        <v>8.1139178571428636E-3</v>
      </c>
      <c r="P47" s="26">
        <f>P39-P46</f>
        <v>1.8828203571428576E-2</v>
      </c>
      <c r="Q47" s="26">
        <f>Q39-Q46</f>
        <v>2.9542489285714287E-2</v>
      </c>
      <c r="R47" s="38">
        <f>R39-R46</f>
        <v>1.5961227405451802E-2</v>
      </c>
      <c r="S47" s="1">
        <f>SUM(S39:S46)</f>
        <v>100</v>
      </c>
    </row>
    <row r="48" spans="1:19">
      <c r="A48" s="14" t="s">
        <v>33</v>
      </c>
      <c r="B48" s="14"/>
      <c r="C48" s="30"/>
      <c r="D48" s="19">
        <f>($D$12-$D$42)*D35/100/10</f>
        <v>7.9542857142856981E-5</v>
      </c>
      <c r="E48" s="19">
        <f>($D$12-$D$42)*E35/100/10</f>
        <v>7.9542857142856981E-5</v>
      </c>
      <c r="F48" s="19">
        <f>($D$12-$D$42)*F35/100/10</f>
        <v>7.9542857142856981E-5</v>
      </c>
      <c r="G48" s="19">
        <f>($D$12-$D$42)*G35/100/10</f>
        <v>7.9542857142856981E-5</v>
      </c>
      <c r="H48" s="34">
        <f>($H$12-$H$42)*H35/100/10</f>
        <v>3.1341004443771818E-5</v>
      </c>
      <c r="I48" s="1">
        <f t="shared" si="1"/>
        <v>0.31341004443771819</v>
      </c>
      <c r="Q48" s="1">
        <f>SUM(Q39:Q47)</f>
        <v>6.6886082142857128E-2</v>
      </c>
    </row>
    <row r="49" spans="1:9">
      <c r="A49" s="14" t="s">
        <v>63</v>
      </c>
      <c r="B49" s="14"/>
      <c r="C49" s="30">
        <f>$C$42*C63/$C$56</f>
        <v>1053.9512730326762</v>
      </c>
      <c r="H49" s="34"/>
      <c r="I49" s="1">
        <f t="shared" si="1"/>
        <v>0</v>
      </c>
    </row>
    <row r="50" spans="1:9">
      <c r="A50" s="14" t="s">
        <v>72</v>
      </c>
      <c r="B50" s="14"/>
      <c r="C50" s="30"/>
      <c r="H50" s="34">
        <f>($H$12-$H$42)*H36/100/2</f>
        <v>6.5963364252312083E-4</v>
      </c>
      <c r="I50" s="1">
        <f>H50*10000</f>
        <v>6.5963364252312084</v>
      </c>
    </row>
    <row r="51" spans="1:9">
      <c r="A51" s="14" t="s">
        <v>43</v>
      </c>
      <c r="B51" s="14"/>
      <c r="C51" s="18">
        <f>SUM(C40:C49)</f>
        <v>4311.6188442245839</v>
      </c>
      <c r="D51" s="20">
        <f>SUM(D42:D49)</f>
        <v>5.1646864285714293E-2</v>
      </c>
      <c r="E51" s="20">
        <f>SUM(E42:E49)</f>
        <v>4.9396864285714284E-2</v>
      </c>
      <c r="F51" s="20">
        <f>SUM(F42:F49)</f>
        <v>4.4039721428571432E-2</v>
      </c>
      <c r="G51" s="20">
        <f>SUM(G42:G49)</f>
        <v>3.8682578571428573E-2</v>
      </c>
      <c r="H51" s="35">
        <f>SUM(H42:H50)</f>
        <v>3.2300207146365126E-2</v>
      </c>
    </row>
    <row r="52" spans="1:9">
      <c r="D52" s="20"/>
      <c r="E52" s="20"/>
      <c r="F52" s="20"/>
      <c r="G52" s="20"/>
    </row>
    <row r="53" spans="1:9">
      <c r="A53" s="1" t="s">
        <v>58</v>
      </c>
    </row>
    <row r="54" spans="1:9">
      <c r="A54" s="10" t="s">
        <v>20</v>
      </c>
      <c r="B54" s="8"/>
      <c r="C54" s="9">
        <v>35.299999999999997</v>
      </c>
      <c r="D54" s="9">
        <f>D40/D51*100</f>
        <v>318.17653567959661</v>
      </c>
      <c r="E54" s="9">
        <f>E40/E51*100</f>
        <v>341.77919188334835</v>
      </c>
      <c r="F54" s="9">
        <f>F40/F51*100</f>
        <v>407.68307214866581</v>
      </c>
      <c r="G54" s="9">
        <f>G40/G51*100</f>
        <v>491.84098378727521</v>
      </c>
      <c r="H54" s="36">
        <f>H40/H51*100</f>
        <v>580.15045533573607</v>
      </c>
    </row>
    <row r="55" spans="1:9">
      <c r="A55" s="10" t="s">
        <v>21</v>
      </c>
      <c r="B55" s="8"/>
      <c r="C55" s="9">
        <v>19.64</v>
      </c>
      <c r="D55" s="9"/>
      <c r="E55" s="9"/>
      <c r="F55" s="9"/>
      <c r="G55" s="9"/>
      <c r="H55" s="36"/>
    </row>
    <row r="56" spans="1:9">
      <c r="A56" s="10" t="s">
        <v>22</v>
      </c>
      <c r="B56" s="8"/>
      <c r="C56" s="9">
        <v>14.46</v>
      </c>
      <c r="D56" s="9">
        <f>D42/D51*100</f>
        <v>97.710260656123353</v>
      </c>
      <c r="E56" s="9">
        <f>E42/E51*100</f>
        <v>97.605964288363595</v>
      </c>
      <c r="F56" s="9">
        <f>F42/F51*100</f>
        <v>97.314745568164838</v>
      </c>
      <c r="G56" s="9">
        <f>G42/G51*100</f>
        <v>96.942865199007073</v>
      </c>
      <c r="H56" s="36">
        <f>H42/H51*100</f>
        <v>83.16810918029482</v>
      </c>
    </row>
    <row r="57" spans="1:9">
      <c r="A57" s="10" t="s">
        <v>37</v>
      </c>
      <c r="B57" s="8"/>
      <c r="C57" s="9"/>
      <c r="D57" s="12">
        <f>D43/D51*100</f>
        <v>0.16544359421073926</v>
      </c>
      <c r="E57" s="12">
        <f>E43/E51*100</f>
        <v>0.17297945893326622</v>
      </c>
      <c r="F57" s="12">
        <f>F43/F51*100</f>
        <v>0.19402127397652819</v>
      </c>
      <c r="G57" s="12">
        <f>G43/G51*100</f>
        <v>0.22089124284630848</v>
      </c>
      <c r="H57" s="32">
        <f>H43/H51*100</f>
        <v>0.35943516072739151</v>
      </c>
    </row>
    <row r="58" spans="1:9">
      <c r="A58" s="10" t="s">
        <v>23</v>
      </c>
      <c r="B58" s="8"/>
      <c r="C58" s="9">
        <v>0.48</v>
      </c>
      <c r="D58" s="12">
        <f>D44/D51*100</f>
        <v>1.8138634056195595</v>
      </c>
      <c r="E58" s="12">
        <f>E44/E51*100</f>
        <v>1.8964838861229003</v>
      </c>
      <c r="F58" s="12">
        <f>F44/F51*100</f>
        <v>2.1271786946881184</v>
      </c>
      <c r="G58" s="12">
        <f>G44/G51*100</f>
        <v>2.4217712624786185</v>
      </c>
      <c r="H58" s="32">
        <f>H44/H51*100</f>
        <v>6.3760773079765407</v>
      </c>
    </row>
    <row r="59" spans="1:9">
      <c r="A59" s="10" t="s">
        <v>24</v>
      </c>
      <c r="B59" s="8"/>
      <c r="C59" s="9">
        <v>4.58</v>
      </c>
      <c r="D59" s="12">
        <f>D45/D51*100</f>
        <v>8.7233895129298883E-2</v>
      </c>
      <c r="E59" s="12">
        <f>E45/E51*100</f>
        <v>9.1207351073903986E-2</v>
      </c>
      <c r="F59" s="12">
        <f>F45/F51*100</f>
        <v>0.10230212627853304</v>
      </c>
      <c r="G59" s="12">
        <f>G45/G51*100</f>
        <v>0.11646992804623538</v>
      </c>
      <c r="H59" s="32">
        <f>H45/H51*100</f>
        <v>7.5053296614398715</v>
      </c>
    </row>
    <row r="60" spans="1:9">
      <c r="A60" s="10" t="s">
        <v>40</v>
      </c>
      <c r="B60" s="8"/>
      <c r="C60" s="9"/>
      <c r="D60" s="12">
        <f>D46/D51*100</f>
        <v>2.6069899693813459E-2</v>
      </c>
      <c r="E60" s="12">
        <f>E46/E51*100</f>
        <v>2.7257369286454065E-2</v>
      </c>
      <c r="F60" s="12">
        <f>F46/F51*100</f>
        <v>3.0573049232665052E-2</v>
      </c>
      <c r="G60" s="12">
        <f>G46/G51*100</f>
        <v>3.4807104933357702E-2</v>
      </c>
      <c r="H60" s="32">
        <f>H46/H51*100</f>
        <v>0</v>
      </c>
    </row>
    <row r="61" spans="1:9">
      <c r="A61" s="10" t="s">
        <v>41</v>
      </c>
      <c r="B61" s="8"/>
      <c r="C61" s="9"/>
      <c r="D61" s="12">
        <f>D47/D51*100</f>
        <v>4.311560333976841E-2</v>
      </c>
      <c r="E61" s="12">
        <f>E47/E51*100</f>
        <v>4.5079495358366341E-2</v>
      </c>
      <c r="F61" s="12">
        <f>F47/F51*100</f>
        <v>5.0563119884792194E-2</v>
      </c>
      <c r="G61" s="12">
        <f>G47/G51*100</f>
        <v>5.7565596620553119E-2</v>
      </c>
      <c r="H61" s="32">
        <f>H47/H51*100</f>
        <v>0.45182201576388487</v>
      </c>
    </row>
    <row r="62" spans="1:9">
      <c r="A62" s="10" t="s">
        <v>42</v>
      </c>
      <c r="B62" s="8"/>
      <c r="C62" s="9"/>
      <c r="D62" s="12">
        <f>D48/D51*100</f>
        <v>0.15401294588345188</v>
      </c>
      <c r="E62" s="12">
        <f>E48/E51*100</f>
        <v>0.16102815086151329</v>
      </c>
      <c r="F62" s="12">
        <f>F48/F51*100</f>
        <v>0.18061616777451359</v>
      </c>
      <c r="G62" s="12">
        <f>G48/G51*100</f>
        <v>0.20562966606783631</v>
      </c>
      <c r="H62" s="32">
        <f>H48/H51*100</f>
        <v>9.7030351235065523E-2</v>
      </c>
    </row>
    <row r="63" spans="1:9">
      <c r="A63" s="10" t="s">
        <v>53</v>
      </c>
      <c r="B63" s="8"/>
      <c r="C63" s="11">
        <v>24.09</v>
      </c>
      <c r="D63" s="8"/>
      <c r="E63" s="8"/>
      <c r="F63" s="8"/>
      <c r="G63" s="8"/>
    </row>
    <row r="64" spans="1:9">
      <c r="A64" s="10" t="s">
        <v>73</v>
      </c>
      <c r="B64" s="8"/>
      <c r="C64" s="11"/>
      <c r="D64" s="8"/>
      <c r="E64" s="8"/>
      <c r="F64" s="8"/>
      <c r="G64" s="8"/>
      <c r="H64" s="32">
        <f>H50/H51*100</f>
        <v>2.0421963225624453</v>
      </c>
    </row>
    <row r="65" spans="1:8">
      <c r="A65" s="10" t="s">
        <v>25</v>
      </c>
      <c r="B65" s="8"/>
      <c r="C65" s="11">
        <f>SUM(C54:C63)</f>
        <v>98.550000000000011</v>
      </c>
      <c r="D65" s="11">
        <f>SUM(D54:D63)</f>
        <v>418.17653567959655</v>
      </c>
      <c r="E65" s="11">
        <f>SUM(E54:E63)</f>
        <v>441.77919188334835</v>
      </c>
      <c r="F65" s="11">
        <f>SUM(F54:F63)</f>
        <v>507.68307214866576</v>
      </c>
      <c r="G65" s="11">
        <f>SUM(G54:G63)</f>
        <v>591.84098378727515</v>
      </c>
      <c r="H65" s="33">
        <f>SUM(H54:H64)</f>
        <v>680.15045533573596</v>
      </c>
    </row>
    <row r="67" spans="1:8">
      <c r="A67" s="1" t="s">
        <v>54</v>
      </c>
      <c r="D67" s="8"/>
      <c r="E67" s="8"/>
      <c r="F67" s="8"/>
      <c r="G67" s="8"/>
    </row>
    <row r="68" spans="1:8" ht="17.25">
      <c r="A68" s="10" t="s">
        <v>19</v>
      </c>
      <c r="B68" s="8"/>
      <c r="C68" s="8">
        <v>300</v>
      </c>
      <c r="D68" s="8"/>
      <c r="E68" s="8"/>
      <c r="F68" s="8"/>
      <c r="G68" s="8"/>
    </row>
    <row r="69" spans="1:8">
      <c r="A69" s="10" t="s">
        <v>68</v>
      </c>
      <c r="B69" s="14"/>
      <c r="D69" s="8"/>
      <c r="E69" s="8"/>
      <c r="F69" s="8"/>
      <c r="G69" s="8"/>
    </row>
    <row r="70" spans="1:8">
      <c r="D70" s="8"/>
      <c r="E70" s="8"/>
      <c r="F70" s="8"/>
      <c r="G70" s="8"/>
    </row>
    <row r="71" spans="1:8">
      <c r="A71" s="1" t="s">
        <v>64</v>
      </c>
      <c r="D71" s="8"/>
      <c r="E71" s="8"/>
      <c r="F71" s="8"/>
      <c r="G71" s="8"/>
    </row>
    <row r="72" spans="1:8">
      <c r="A72" s="10" t="s">
        <v>20</v>
      </c>
      <c r="B72" s="8"/>
      <c r="C72" s="9">
        <f>C40</f>
        <v>1544.3951821524893</v>
      </c>
      <c r="D72" s="8"/>
      <c r="E72" s="8"/>
      <c r="F72" s="8"/>
      <c r="G72" s="8"/>
    </row>
    <row r="73" spans="1:8">
      <c r="A73" s="10" t="s">
        <v>21</v>
      </c>
      <c r="B73" s="8"/>
      <c r="C73" s="9">
        <f>C41</f>
        <v>859.26122882365144</v>
      </c>
      <c r="D73" s="8"/>
      <c r="E73" s="8"/>
      <c r="F73" s="8"/>
      <c r="G73" s="8"/>
    </row>
    <row r="74" spans="1:8">
      <c r="A74" s="10" t="s">
        <v>22</v>
      </c>
      <c r="B74" s="8"/>
      <c r="C74" s="9">
        <f>C42</f>
        <v>632.63326725000002</v>
      </c>
      <c r="D74" s="8"/>
      <c r="E74" s="8"/>
      <c r="F74" s="8"/>
      <c r="G74" s="8"/>
    </row>
    <row r="75" spans="1:8">
      <c r="A75" s="10" t="s">
        <v>37</v>
      </c>
      <c r="B75" s="8"/>
      <c r="C75" s="9"/>
      <c r="D75" s="8"/>
      <c r="E75" s="8"/>
      <c r="F75" s="8"/>
      <c r="G75" s="8"/>
    </row>
    <row r="76" spans="1:8">
      <c r="A76" s="10" t="s">
        <v>23</v>
      </c>
      <c r="B76" s="8"/>
      <c r="C76" s="9">
        <f>C44</f>
        <v>21.000274431535267</v>
      </c>
      <c r="D76" s="8"/>
      <c r="E76" s="8"/>
      <c r="F76" s="8"/>
      <c r="G76" s="8"/>
    </row>
    <row r="77" spans="1:8">
      <c r="A77" s="10" t="s">
        <v>24</v>
      </c>
      <c r="B77" s="8"/>
      <c r="C77" s="9"/>
      <c r="D77" s="8"/>
      <c r="E77" s="8"/>
      <c r="F77" s="8"/>
      <c r="G77" s="8"/>
    </row>
    <row r="78" spans="1:8">
      <c r="A78" s="10" t="s">
        <v>40</v>
      </c>
      <c r="B78" s="8"/>
      <c r="C78" s="9"/>
      <c r="D78" s="8"/>
      <c r="E78" s="8"/>
      <c r="F78" s="8"/>
      <c r="G78" s="8"/>
    </row>
    <row r="79" spans="1:8">
      <c r="A79" s="10" t="s">
        <v>41</v>
      </c>
      <c r="B79" s="8"/>
      <c r="C79" s="9"/>
      <c r="D79" s="8"/>
      <c r="E79" s="8"/>
      <c r="F79" s="8"/>
      <c r="G79" s="8"/>
    </row>
    <row r="80" spans="1:8">
      <c r="A80" s="10" t="s">
        <v>42</v>
      </c>
      <c r="B80" s="8"/>
      <c r="C80" s="9"/>
      <c r="D80" s="8"/>
      <c r="E80" s="8"/>
      <c r="F80" s="8"/>
      <c r="G80" s="8"/>
    </row>
    <row r="81" spans="1:7">
      <c r="A81" s="10" t="s">
        <v>53</v>
      </c>
      <c r="B81" s="8"/>
      <c r="C81" s="9">
        <f>C49</f>
        <v>1053.9512730326762</v>
      </c>
      <c r="D81" s="8"/>
      <c r="E81" s="8"/>
      <c r="F81" s="8"/>
      <c r="G81" s="8"/>
    </row>
    <row r="82" spans="1:7">
      <c r="A82" s="10" t="s">
        <v>25</v>
      </c>
      <c r="B82" s="8"/>
      <c r="C82" s="9">
        <f>SUM(C72:C81)</f>
        <v>4111.2412256903517</v>
      </c>
      <c r="D82" s="8"/>
      <c r="E82" s="8"/>
      <c r="F82" s="8"/>
      <c r="G82" s="8"/>
    </row>
    <row r="84" spans="1:7">
      <c r="A84" s="1" t="s">
        <v>55</v>
      </c>
      <c r="C84" s="9" t="s">
        <v>57</v>
      </c>
    </row>
    <row r="85" spans="1:7" ht="17.25">
      <c r="A85" s="10" t="s">
        <v>18</v>
      </c>
      <c r="C85" s="1">
        <v>111</v>
      </c>
    </row>
    <row r="86" spans="1:7">
      <c r="A86" s="10" t="s">
        <v>56</v>
      </c>
      <c r="C86" s="1">
        <v>150</v>
      </c>
    </row>
    <row r="87" spans="1:7">
      <c r="A87" s="10" t="s">
        <v>69</v>
      </c>
      <c r="C87" s="1">
        <v>18</v>
      </c>
    </row>
    <row r="88" spans="1:7">
      <c r="A88" s="2" t="s">
        <v>59</v>
      </c>
      <c r="C88" s="1">
        <v>30</v>
      </c>
    </row>
    <row r="90" spans="1:7">
      <c r="A90" s="1" t="s">
        <v>66</v>
      </c>
    </row>
    <row r="91" spans="1:7">
      <c r="A91" s="10" t="s">
        <v>20</v>
      </c>
      <c r="B91" s="8"/>
      <c r="C91" s="9">
        <f t="shared" ref="C91:C96" si="4">$C$51*C104/$C$114</f>
        <v>1544.4526035055001</v>
      </c>
    </row>
    <row r="92" spans="1:7">
      <c r="A92" s="10" t="s">
        <v>21</v>
      </c>
      <c r="B92" s="8"/>
      <c r="C92" s="9">
        <f t="shared" si="4"/>
        <v>859.29317656793273</v>
      </c>
    </row>
    <row r="93" spans="1:7">
      <c r="A93" s="10" t="s">
        <v>22</v>
      </c>
      <c r="B93" s="8"/>
      <c r="C93" s="9">
        <f t="shared" si="4"/>
        <v>632.65678885806039</v>
      </c>
    </row>
    <row r="94" spans="1:7">
      <c r="A94" s="10" t="s">
        <v>37</v>
      </c>
      <c r="B94" s="8"/>
      <c r="C94" s="9">
        <f t="shared" si="4"/>
        <v>4.0477783871363977</v>
      </c>
    </row>
    <row r="95" spans="1:7">
      <c r="A95" s="10" t="s">
        <v>23</v>
      </c>
      <c r="B95" s="8"/>
      <c r="C95" s="9">
        <f t="shared" si="4"/>
        <v>216.37649718516863</v>
      </c>
    </row>
    <row r="96" spans="1:7">
      <c r="A96" s="10" t="s">
        <v>24</v>
      </c>
      <c r="B96" s="8"/>
      <c r="C96" s="9">
        <f t="shared" si="4"/>
        <v>0.80154027468047473</v>
      </c>
    </row>
    <row r="97" spans="1:3">
      <c r="A97" s="10" t="s">
        <v>40</v>
      </c>
      <c r="B97" s="8"/>
      <c r="C97" s="9"/>
    </row>
    <row r="98" spans="1:3">
      <c r="A98" s="10" t="s">
        <v>41</v>
      </c>
      <c r="B98" s="8"/>
      <c r="C98" s="9"/>
    </row>
    <row r="99" spans="1:3">
      <c r="A99" s="10" t="s">
        <v>42</v>
      </c>
      <c r="B99" s="8"/>
      <c r="C99" s="9"/>
    </row>
    <row r="100" spans="1:3">
      <c r="A100" s="10" t="s">
        <v>53</v>
      </c>
      <c r="B100" s="8"/>
      <c r="C100" s="9">
        <f>$C$51*C113/$C$114</f>
        <v>1053.9904594461048</v>
      </c>
    </row>
    <row r="101" spans="1:3">
      <c r="A101" s="10" t="s">
        <v>25</v>
      </c>
      <c r="B101" s="8"/>
      <c r="C101" s="9">
        <f>SUM(C91:C100)</f>
        <v>4311.6188442245839</v>
      </c>
    </row>
    <row r="103" spans="1:3">
      <c r="A103" s="1" t="s">
        <v>65</v>
      </c>
    </row>
    <row r="104" spans="1:3">
      <c r="A104" s="10" t="s">
        <v>20</v>
      </c>
      <c r="B104" s="8"/>
      <c r="C104" s="9">
        <v>35.299999999999997</v>
      </c>
    </row>
    <row r="105" spans="1:3">
      <c r="A105" s="10" t="s">
        <v>21</v>
      </c>
      <c r="B105" s="8"/>
      <c r="C105" s="9">
        <v>19.64</v>
      </c>
    </row>
    <row r="106" spans="1:3">
      <c r="A106" s="10" t="s">
        <v>22</v>
      </c>
      <c r="B106" s="8"/>
      <c r="C106" s="9">
        <v>14.46</v>
      </c>
    </row>
    <row r="107" spans="1:3">
      <c r="A107" s="10" t="s">
        <v>37</v>
      </c>
      <c r="B107" s="8"/>
      <c r="C107" s="9">
        <f>C59*2.02/100</f>
        <v>9.2516000000000001E-2</v>
      </c>
    </row>
    <row r="108" spans="1:3">
      <c r="A108" s="10" t="s">
        <v>23</v>
      </c>
      <c r="B108" s="8"/>
      <c r="C108" s="9">
        <f>C58+C59*97.5/100</f>
        <v>4.9455000000000009</v>
      </c>
    </row>
    <row r="109" spans="1:3">
      <c r="A109" s="10" t="s">
        <v>24</v>
      </c>
      <c r="B109" s="8"/>
      <c r="C109" s="9">
        <f>C59*0.4/100</f>
        <v>1.8319999999999999E-2</v>
      </c>
    </row>
    <row r="110" spans="1:3">
      <c r="A110" s="10" t="s">
        <v>40</v>
      </c>
      <c r="B110" s="8"/>
      <c r="C110" s="9"/>
    </row>
    <row r="111" spans="1:3">
      <c r="A111" s="10" t="s">
        <v>41</v>
      </c>
      <c r="B111" s="8"/>
      <c r="C111" s="9"/>
    </row>
    <row r="112" spans="1:3">
      <c r="A112" s="10" t="s">
        <v>42</v>
      </c>
      <c r="B112" s="8"/>
      <c r="C112" s="9"/>
    </row>
    <row r="113" spans="1:3">
      <c r="A113" s="10" t="s">
        <v>53</v>
      </c>
      <c r="B113" s="8"/>
      <c r="C113" s="11">
        <v>24.09</v>
      </c>
    </row>
    <row r="114" spans="1:3">
      <c r="A114" s="10" t="s">
        <v>25</v>
      </c>
      <c r="B114" s="8"/>
      <c r="C114" s="11">
        <f>SUM(C104:C113)</f>
        <v>98.546336000000011</v>
      </c>
    </row>
  </sheetData>
  <phoneticPr fontId="8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2E00-1F70-4A1D-A0C5-F1640A5A82DD}">
  <dimension ref="A1:CO665"/>
  <sheetViews>
    <sheetView tabSelected="1" topLeftCell="A426" zoomScale="55" zoomScaleNormal="55" workbookViewId="0">
      <selection activeCell="B445" sqref="B445:U466"/>
    </sheetView>
  </sheetViews>
  <sheetFormatPr defaultRowHeight="16.5"/>
  <cols>
    <col min="4" max="4" width="13.625" bestFit="1" customWidth="1"/>
    <col min="5" max="5" width="11.75" customWidth="1"/>
    <col min="6" max="7" width="9.5" bestFit="1" customWidth="1"/>
    <col min="8" max="9" width="10.625" bestFit="1" customWidth="1"/>
    <col min="10" max="10" width="9.125" bestFit="1" customWidth="1"/>
    <col min="11" max="11" width="10.625" bestFit="1" customWidth="1"/>
    <col min="12" max="12" width="9.5" bestFit="1" customWidth="1"/>
    <col min="13" max="13" width="10.625" bestFit="1" customWidth="1"/>
    <col min="14" max="18" width="9.125" bestFit="1" customWidth="1"/>
    <col min="19" max="19" width="9.5" bestFit="1" customWidth="1"/>
    <col min="20" max="20" width="9.125" bestFit="1" customWidth="1"/>
    <col min="21" max="21" width="9.5" bestFit="1" customWidth="1"/>
    <col min="54" max="54" width="19.875" bestFit="1" customWidth="1"/>
    <col min="55" max="56" width="13.375" style="742" bestFit="1" customWidth="1"/>
  </cols>
  <sheetData>
    <row r="1" spans="1:1">
      <c r="A1" s="311" t="s">
        <v>833</v>
      </c>
    </row>
    <row r="36" spans="2:75" ht="17.25" thickBot="1"/>
    <row r="37" spans="2:75">
      <c r="B37" s="338"/>
      <c r="C37" s="170" t="s">
        <v>76</v>
      </c>
      <c r="D37" s="170">
        <v>1</v>
      </c>
      <c r="E37" s="170">
        <v>2</v>
      </c>
      <c r="F37" s="170">
        <v>3</v>
      </c>
      <c r="G37" s="170">
        <v>4</v>
      </c>
      <c r="H37" s="170">
        <v>5</v>
      </c>
      <c r="I37" s="170">
        <v>6</v>
      </c>
      <c r="J37" s="170">
        <v>7</v>
      </c>
      <c r="K37" s="170">
        <v>8</v>
      </c>
      <c r="L37" s="170">
        <v>9</v>
      </c>
      <c r="M37" s="170">
        <v>10</v>
      </c>
      <c r="N37" s="170">
        <v>11</v>
      </c>
      <c r="O37" s="170">
        <v>12</v>
      </c>
      <c r="P37" s="170">
        <v>13</v>
      </c>
      <c r="Q37" s="170">
        <v>14</v>
      </c>
      <c r="R37" s="170">
        <v>15</v>
      </c>
      <c r="S37" s="170">
        <v>16</v>
      </c>
      <c r="T37" s="170">
        <v>17</v>
      </c>
      <c r="U37" s="170">
        <v>18</v>
      </c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J37" s="170"/>
      <c r="AK37" s="170">
        <v>33</v>
      </c>
      <c r="AL37" s="170">
        <v>34</v>
      </c>
      <c r="AM37" s="170">
        <v>35</v>
      </c>
      <c r="AN37" s="170">
        <v>36</v>
      </c>
      <c r="AO37" s="170" t="s">
        <v>795</v>
      </c>
      <c r="AP37" s="170">
        <v>38</v>
      </c>
      <c r="AQ37" s="170">
        <v>39</v>
      </c>
      <c r="AR37" s="170">
        <v>40</v>
      </c>
      <c r="AS37" s="170">
        <v>41</v>
      </c>
      <c r="AT37" s="170">
        <v>42</v>
      </c>
      <c r="AU37" s="170">
        <v>43</v>
      </c>
      <c r="AV37" s="170">
        <v>44</v>
      </c>
      <c r="AW37" s="170" t="s">
        <v>818</v>
      </c>
      <c r="AX37" s="170">
        <v>45</v>
      </c>
      <c r="AY37" s="170" t="s">
        <v>819</v>
      </c>
      <c r="AZ37" s="170">
        <v>46</v>
      </c>
      <c r="BA37" s="170">
        <v>47</v>
      </c>
      <c r="BB37" s="170">
        <v>48</v>
      </c>
      <c r="BC37" s="743" t="s">
        <v>858</v>
      </c>
      <c r="BD37" s="743" t="s">
        <v>859</v>
      </c>
      <c r="BE37" s="170" t="s">
        <v>848</v>
      </c>
      <c r="BF37" s="170" t="s">
        <v>167</v>
      </c>
      <c r="BG37" s="170" t="s">
        <v>820</v>
      </c>
      <c r="BH37" s="170" t="s">
        <v>821</v>
      </c>
      <c r="BI37" s="170" t="s">
        <v>822</v>
      </c>
      <c r="BJ37" s="170" t="s">
        <v>823</v>
      </c>
      <c r="BK37" s="170" t="s">
        <v>824</v>
      </c>
      <c r="BL37" s="170" t="s">
        <v>825</v>
      </c>
      <c r="BM37" s="170" t="s">
        <v>834</v>
      </c>
      <c r="BN37" s="170" t="s">
        <v>860</v>
      </c>
      <c r="BO37" s="170" t="s">
        <v>861</v>
      </c>
      <c r="BP37" s="170"/>
      <c r="BQ37" s="743">
        <v>49</v>
      </c>
      <c r="BR37" s="743">
        <v>50</v>
      </c>
      <c r="BS37" s="743" t="s">
        <v>1074</v>
      </c>
      <c r="BT37" s="743">
        <v>52</v>
      </c>
      <c r="BU37" s="743" t="s">
        <v>1075</v>
      </c>
      <c r="BV37" s="743">
        <v>54</v>
      </c>
      <c r="BW37" s="339"/>
    </row>
    <row r="38" spans="2:75">
      <c r="B38" s="61" t="s">
        <v>90</v>
      </c>
      <c r="C38" t="s">
        <v>91</v>
      </c>
      <c r="D38" s="897">
        <v>30</v>
      </c>
      <c r="E38" s="897">
        <v>670.68847584193497</v>
      </c>
      <c r="F38" s="897">
        <v>30</v>
      </c>
      <c r="G38" s="897">
        <v>30</v>
      </c>
      <c r="H38" s="897">
        <v>35</v>
      </c>
      <c r="I38" s="897">
        <v>1.42519625150044E-2</v>
      </c>
      <c r="J38" s="897">
        <v>-60</v>
      </c>
      <c r="K38" s="897">
        <v>-116.46255360951299</v>
      </c>
      <c r="L38" s="897">
        <v>-140</v>
      </c>
      <c r="M38" s="897">
        <v>-140</v>
      </c>
      <c r="N38" s="897">
        <v>-125.130645185107</v>
      </c>
      <c r="O38" s="897">
        <v>35</v>
      </c>
      <c r="P38" s="897">
        <v>250.11225516979701</v>
      </c>
      <c r="Q38" s="897">
        <v>-86.520964015090001</v>
      </c>
      <c r="R38" s="897">
        <v>-104.084756182435</v>
      </c>
      <c r="S38" s="897">
        <v>30</v>
      </c>
      <c r="T38" s="897">
        <v>73.417094214841995</v>
      </c>
      <c r="U38" s="897">
        <v>435.97056911989802</v>
      </c>
      <c r="BQ38" s="742"/>
      <c r="BR38" s="742"/>
      <c r="BS38" s="742"/>
      <c r="BT38" s="742"/>
      <c r="BU38" s="742"/>
      <c r="BV38" s="742"/>
      <c r="BW38" s="62"/>
    </row>
    <row r="39" spans="2:75">
      <c r="B39" s="61" t="s">
        <v>92</v>
      </c>
      <c r="C39" t="s">
        <v>93</v>
      </c>
      <c r="D39" s="897">
        <v>1.0129999999999999</v>
      </c>
      <c r="E39" s="897">
        <v>1.0129999999999999</v>
      </c>
      <c r="F39" s="897">
        <v>1.0129999999999999</v>
      </c>
      <c r="G39" s="897">
        <v>1.0129999999999999</v>
      </c>
      <c r="H39" s="897">
        <v>20.000000888948499</v>
      </c>
      <c r="I39" s="897">
        <v>30.000000362514001</v>
      </c>
      <c r="J39" s="897">
        <v>30</v>
      </c>
      <c r="K39" s="897">
        <v>30</v>
      </c>
      <c r="L39" s="897">
        <v>30</v>
      </c>
      <c r="M39" s="897">
        <v>30</v>
      </c>
      <c r="N39" s="897">
        <v>10</v>
      </c>
      <c r="O39" s="897">
        <v>20</v>
      </c>
      <c r="P39" s="897">
        <v>30</v>
      </c>
      <c r="Q39" s="897">
        <v>1.0129999999999999</v>
      </c>
      <c r="R39" s="897">
        <v>1.0129999999999999</v>
      </c>
      <c r="S39" s="897">
        <v>30</v>
      </c>
      <c r="T39" s="897">
        <v>1</v>
      </c>
      <c r="U39" s="897">
        <v>100</v>
      </c>
      <c r="BQ39" s="742"/>
      <c r="BR39" s="742"/>
      <c r="BS39" s="742"/>
      <c r="BT39" s="742"/>
      <c r="BU39" s="742"/>
      <c r="BV39" s="742"/>
      <c r="BW39" s="62"/>
    </row>
    <row r="40" spans="2:75">
      <c r="B40" t="s">
        <v>118</v>
      </c>
      <c r="C40" t="s">
        <v>119</v>
      </c>
      <c r="D40" s="932">
        <v>211552.667568</v>
      </c>
      <c r="E40" s="932">
        <v>1205811.6221773999</v>
      </c>
      <c r="F40" s="932">
        <v>170758.444906391</v>
      </c>
      <c r="G40" s="932">
        <v>694833.85637167306</v>
      </c>
      <c r="H40" s="932">
        <v>1201147.2433009399</v>
      </c>
      <c r="I40" s="932">
        <v>1201851.8820223899</v>
      </c>
      <c r="J40" s="932">
        <v>14202.474050341199</v>
      </c>
      <c r="K40" s="932">
        <v>1186011.2023758099</v>
      </c>
      <c r="L40" s="932">
        <v>242525.68110289201</v>
      </c>
      <c r="M40" s="932">
        <v>943485.52127272496</v>
      </c>
      <c r="N40" s="932">
        <v>82436.756661256994</v>
      </c>
      <c r="O40" s="932">
        <v>1639.5145450867601</v>
      </c>
      <c r="P40" s="932">
        <v>13579.034575081299</v>
      </c>
      <c r="Q40" s="932">
        <v>14988.3573125441</v>
      </c>
      <c r="R40" s="932">
        <v>145100.56713225399</v>
      </c>
      <c r="S40" s="932">
        <v>29499.3359718264</v>
      </c>
      <c r="T40" s="932">
        <v>259541.218949648</v>
      </c>
      <c r="U40" s="932">
        <v>462488.73291194701</v>
      </c>
      <c r="BC40" s="760"/>
      <c r="BD40" s="761"/>
      <c r="BQ40" s="742"/>
      <c r="BR40" s="742"/>
      <c r="BS40" s="742"/>
      <c r="BT40" s="742"/>
      <c r="BU40" s="742"/>
      <c r="BV40" s="742"/>
      <c r="BW40" s="62"/>
    </row>
    <row r="41" spans="2:75">
      <c r="B41" s="43" t="s">
        <v>115</v>
      </c>
      <c r="C41" t="s">
        <v>1259</v>
      </c>
      <c r="D41" s="933">
        <v>13186.8</v>
      </c>
      <c r="E41" s="933">
        <v>262299.21129378001</v>
      </c>
      <c r="F41" s="933">
        <v>10643.9568320159</v>
      </c>
      <c r="G41" s="933">
        <v>21714.471937312399</v>
      </c>
      <c r="H41" s="933">
        <v>268714.4124951</v>
      </c>
      <c r="I41" s="933">
        <v>268723.02492320602</v>
      </c>
      <c r="J41" s="933">
        <v>192.14321065671001</v>
      </c>
      <c r="K41" s="933">
        <v>268548.30486411299</v>
      </c>
      <c r="L41" s="933">
        <v>10927.345924506901</v>
      </c>
      <c r="M41" s="933">
        <v>257620.958939606</v>
      </c>
      <c r="N41" s="933">
        <v>5311.4290175125097</v>
      </c>
      <c r="O41" s="933">
        <v>13.2813283145897</v>
      </c>
      <c r="P41" s="933">
        <v>173.267533520868</v>
      </c>
      <c r="Q41" s="933">
        <v>443.95683663336803</v>
      </c>
      <c r="R41" s="933">
        <v>5171.9600703610804</v>
      </c>
      <c r="S41" s="933">
        <v>13684.1571950406</v>
      </c>
      <c r="T41" s="933">
        <f>SUM(T42:T58)</f>
        <v>4661.1284977594814</v>
      </c>
      <c r="U41" s="933">
        <f>SUM(U42:U58)</f>
        <v>12258.961742232148</v>
      </c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BQ41" s="742"/>
      <c r="BR41" s="742"/>
      <c r="BS41" s="742"/>
      <c r="BT41" s="742"/>
      <c r="BU41" s="742"/>
      <c r="BV41" s="742"/>
      <c r="BW41" s="62"/>
    </row>
    <row r="42" spans="2:75">
      <c r="B42" t="s">
        <v>132</v>
      </c>
      <c r="C42" t="s">
        <v>1259</v>
      </c>
      <c r="D42" s="932">
        <v>0</v>
      </c>
      <c r="E42" s="932">
        <v>214570.80163273</v>
      </c>
      <c r="F42" s="932">
        <v>0</v>
      </c>
      <c r="G42" s="932">
        <v>0</v>
      </c>
      <c r="H42" s="932">
        <v>228104.44499233601</v>
      </c>
      <c r="I42" s="932">
        <v>228104.54141310399</v>
      </c>
      <c r="J42" s="932">
        <v>1.2403406576434901</v>
      </c>
      <c r="K42" s="932">
        <v>228122.28963935201</v>
      </c>
      <c r="L42" s="932">
        <v>198.16267812359399</v>
      </c>
      <c r="M42" s="932">
        <v>227924.12696123801</v>
      </c>
      <c r="N42" s="932">
        <v>198.16267809238099</v>
      </c>
      <c r="O42" s="932">
        <v>8.0876739804929598E-2</v>
      </c>
      <c r="P42" s="932">
        <v>5.4280781969352104E-4</v>
      </c>
      <c r="Q42" s="932">
        <v>4.9527944878212601E-128</v>
      </c>
      <c r="R42" s="932">
        <v>3.1212174206266397E-8</v>
      </c>
      <c r="S42" s="932">
        <v>13547.725061487899</v>
      </c>
      <c r="T42" s="932">
        <v>0</v>
      </c>
      <c r="U42" s="932">
        <v>0</v>
      </c>
      <c r="Z42" s="44"/>
      <c r="AE42" s="44"/>
      <c r="AF42" s="44"/>
      <c r="BQ42" s="742"/>
      <c r="BR42" s="742"/>
      <c r="BS42" s="742"/>
      <c r="BT42" s="742"/>
      <c r="BU42" s="742"/>
      <c r="BV42" s="742"/>
      <c r="BW42" s="62"/>
    </row>
    <row r="43" spans="2:75">
      <c r="B43" t="s">
        <v>131</v>
      </c>
      <c r="C43" t="s">
        <v>1259</v>
      </c>
      <c r="D43" s="932">
        <v>13186.8</v>
      </c>
      <c r="E43" s="932">
        <v>47100.907225616</v>
      </c>
      <c r="F43" s="932">
        <v>10643.9568320159</v>
      </c>
      <c r="G43" s="932">
        <v>0</v>
      </c>
      <c r="H43" s="932">
        <v>34177.990393037602</v>
      </c>
      <c r="I43" s="932">
        <v>34178.153846474903</v>
      </c>
      <c r="J43" s="932">
        <v>3.9210295476909098</v>
      </c>
      <c r="K43" s="932">
        <v>34179.988355724301</v>
      </c>
      <c r="L43" s="932">
        <v>5113.2663393888997</v>
      </c>
      <c r="M43" s="932">
        <v>29066.7220163317</v>
      </c>
      <c r="N43" s="932">
        <v>5112.7351973465702</v>
      </c>
      <c r="O43" s="932">
        <v>7.72066070893071E-2</v>
      </c>
      <c r="P43" s="932">
        <v>4.6070000128579699E-3</v>
      </c>
      <c r="Q43" s="932">
        <v>2.1145211396533999E-55</v>
      </c>
      <c r="R43" s="932">
        <v>0.53114204228164497</v>
      </c>
      <c r="S43" s="932">
        <v>136.43213355271999</v>
      </c>
      <c r="T43" s="932">
        <v>0</v>
      </c>
      <c r="U43" s="932">
        <v>0</v>
      </c>
      <c r="Z43" s="44"/>
      <c r="AB43" s="44"/>
      <c r="AD43" s="44"/>
      <c r="AE43" s="44"/>
      <c r="BQ43" s="742"/>
      <c r="BR43" s="742"/>
      <c r="BS43" s="742"/>
      <c r="BT43" s="742"/>
      <c r="BU43" s="742"/>
      <c r="BV43" s="742"/>
      <c r="BW43" s="62"/>
    </row>
    <row r="44" spans="2:75">
      <c r="B44" t="s">
        <v>133</v>
      </c>
      <c r="C44" t="s">
        <v>1259</v>
      </c>
      <c r="D44" s="932">
        <v>0</v>
      </c>
      <c r="E44" s="932">
        <v>14.990364787636</v>
      </c>
      <c r="F44" s="932">
        <v>0</v>
      </c>
      <c r="G44" s="932">
        <v>0</v>
      </c>
      <c r="H44" s="932">
        <v>404.47037561827602</v>
      </c>
      <c r="I44" s="932">
        <v>404.48959317921799</v>
      </c>
      <c r="J44" s="932">
        <v>0.85583745730504002</v>
      </c>
      <c r="K44" s="932">
        <v>404.48513078987298</v>
      </c>
      <c r="L44" s="932">
        <v>389.41961287348698</v>
      </c>
      <c r="M44" s="932">
        <v>15.0655179160172</v>
      </c>
      <c r="N44" s="932">
        <v>1.1652648434963299E-4</v>
      </c>
      <c r="O44" s="932">
        <v>6.1573978941706804E-3</v>
      </c>
      <c r="P44" s="932">
        <v>4.7991323203014002E-3</v>
      </c>
      <c r="Q44" s="932">
        <v>382.46464998605597</v>
      </c>
      <c r="R44" s="932">
        <v>6.95484683782988</v>
      </c>
      <c r="S44" s="932">
        <v>0</v>
      </c>
      <c r="T44" s="932">
        <v>0</v>
      </c>
      <c r="U44" s="932">
        <v>0</v>
      </c>
      <c r="AD44" s="44"/>
      <c r="BQ44" s="742"/>
      <c r="BR44" s="742"/>
      <c r="BS44" s="742"/>
      <c r="BT44" s="742"/>
      <c r="BU44" s="742"/>
      <c r="BV44" s="742"/>
      <c r="BW44" s="62"/>
    </row>
    <row r="45" spans="2:75">
      <c r="B45" t="s">
        <v>134</v>
      </c>
      <c r="C45" t="s">
        <v>1259</v>
      </c>
      <c r="D45" s="932">
        <v>0</v>
      </c>
      <c r="E45" s="932">
        <v>612.50983735988405</v>
      </c>
      <c r="F45" s="932">
        <v>0</v>
      </c>
      <c r="G45" s="932">
        <v>0</v>
      </c>
      <c r="H45" s="932">
        <v>5784.9090344312199</v>
      </c>
      <c r="I45" s="932">
        <v>5785.0831784257798</v>
      </c>
      <c r="J45" s="932">
        <v>6.9300903478847999</v>
      </c>
      <c r="K45" s="932">
        <v>5785.2169461554604</v>
      </c>
      <c r="L45" s="932">
        <v>5170.1747465385797</v>
      </c>
      <c r="M45" s="932">
        <v>615.04219961199999</v>
      </c>
      <c r="N45" s="932">
        <v>0.53102554706642402</v>
      </c>
      <c r="O45" s="932">
        <v>5.9518262095027197E-2</v>
      </c>
      <c r="P45" s="932">
        <v>2.72742112081432E-2</v>
      </c>
      <c r="Q45" s="932">
        <v>5.1696389945849797</v>
      </c>
      <c r="R45" s="932">
        <v>5164.47408144975</v>
      </c>
      <c r="S45" s="932">
        <v>0</v>
      </c>
      <c r="T45" s="932">
        <v>0</v>
      </c>
      <c r="U45" s="932">
        <v>0</v>
      </c>
      <c r="BQ45" s="742"/>
      <c r="BR45" s="742"/>
      <c r="BS45" s="742"/>
      <c r="BT45" s="742"/>
      <c r="BU45" s="742"/>
      <c r="BV45" s="742"/>
      <c r="BW45" s="62"/>
    </row>
    <row r="46" spans="2:75">
      <c r="B46" t="s">
        <v>135</v>
      </c>
      <c r="C46" t="s">
        <v>1259</v>
      </c>
      <c r="D46" s="932">
        <v>0</v>
      </c>
      <c r="E46" s="932">
        <v>0</v>
      </c>
      <c r="F46" s="932">
        <v>0</v>
      </c>
      <c r="G46" s="932">
        <v>0</v>
      </c>
      <c r="H46" s="932">
        <v>0</v>
      </c>
      <c r="I46" s="932">
        <v>0</v>
      </c>
      <c r="J46" s="932">
        <v>0</v>
      </c>
      <c r="K46" s="932">
        <v>0</v>
      </c>
      <c r="L46" s="932">
        <v>0</v>
      </c>
      <c r="M46" s="932">
        <v>0</v>
      </c>
      <c r="N46" s="932">
        <v>0</v>
      </c>
      <c r="O46" s="932">
        <v>0</v>
      </c>
      <c r="P46" s="932">
        <v>0</v>
      </c>
      <c r="Q46" s="932">
        <v>0</v>
      </c>
      <c r="R46" s="932">
        <v>0</v>
      </c>
      <c r="S46" s="932">
        <v>0</v>
      </c>
      <c r="T46" s="932">
        <v>0</v>
      </c>
      <c r="U46" s="932">
        <v>0</v>
      </c>
      <c r="BQ46" s="742"/>
      <c r="BR46" s="742"/>
      <c r="BS46" s="742"/>
      <c r="BT46" s="742"/>
      <c r="BU46" s="742"/>
      <c r="BV46" s="742"/>
      <c r="BW46" s="62"/>
    </row>
    <row r="47" spans="2:75">
      <c r="B47" t="s">
        <v>165</v>
      </c>
      <c r="C47" t="s">
        <v>1259</v>
      </c>
      <c r="D47" s="932">
        <v>0</v>
      </c>
      <c r="E47" s="932">
        <v>0</v>
      </c>
      <c r="F47" s="932">
        <v>0</v>
      </c>
      <c r="G47" s="932">
        <v>0</v>
      </c>
      <c r="H47" s="932">
        <v>0</v>
      </c>
      <c r="I47" s="932">
        <v>0</v>
      </c>
      <c r="J47" s="932">
        <v>0</v>
      </c>
      <c r="K47" s="932">
        <v>0</v>
      </c>
      <c r="L47" s="932">
        <v>0</v>
      </c>
      <c r="M47" s="932">
        <v>0</v>
      </c>
      <c r="N47" s="932">
        <v>0</v>
      </c>
      <c r="O47" s="932">
        <v>0</v>
      </c>
      <c r="P47" s="932">
        <v>0</v>
      </c>
      <c r="Q47" s="932">
        <v>0</v>
      </c>
      <c r="R47" s="932">
        <v>0</v>
      </c>
      <c r="S47" s="932">
        <v>0</v>
      </c>
      <c r="T47" s="932">
        <v>0</v>
      </c>
      <c r="U47" s="932">
        <v>0</v>
      </c>
      <c r="BQ47" s="742"/>
      <c r="BR47" s="742"/>
      <c r="BS47" s="742"/>
      <c r="BT47" s="742"/>
      <c r="BU47" s="742"/>
      <c r="BV47" s="742"/>
      <c r="BW47" s="62"/>
    </row>
    <row r="48" spans="2:75">
      <c r="B48" t="s">
        <v>136</v>
      </c>
      <c r="C48" t="s">
        <v>1259</v>
      </c>
      <c r="D48" s="932">
        <v>0</v>
      </c>
      <c r="E48" s="932">
        <v>1.24793607233411E-6</v>
      </c>
      <c r="F48" s="932">
        <v>0</v>
      </c>
      <c r="G48" s="932">
        <v>0</v>
      </c>
      <c r="H48" s="932">
        <v>179.03477863677699</v>
      </c>
      <c r="I48" s="932">
        <v>185.78117598970201</v>
      </c>
      <c r="J48" s="932">
        <v>170.248392987974</v>
      </c>
      <c r="K48" s="932">
        <v>8.2673700946306603</v>
      </c>
      <c r="L48" s="932">
        <v>8.2673688404157009</v>
      </c>
      <c r="M48" s="932">
        <v>1.2542071078883599E-6</v>
      </c>
      <c r="N48" s="932">
        <v>1.6725116895969701E-28</v>
      </c>
      <c r="O48" s="932">
        <v>0.71855831654048496</v>
      </c>
      <c r="P48" s="932">
        <v>170.059681843481</v>
      </c>
      <c r="Q48" s="932">
        <v>8.2673688507401799</v>
      </c>
      <c r="R48" s="932">
        <v>4.5597692205793202E-184</v>
      </c>
      <c r="S48" s="932">
        <v>0</v>
      </c>
      <c r="T48" s="932">
        <v>0</v>
      </c>
      <c r="U48" s="932">
        <v>0</v>
      </c>
      <c r="X48" s="44"/>
      <c r="Y48" s="44"/>
      <c r="AA48" s="44"/>
      <c r="AB48" s="44"/>
      <c r="AF48" s="44"/>
      <c r="AG48" s="44"/>
      <c r="AH48" s="44"/>
      <c r="BQ48" s="742"/>
      <c r="BR48" s="742"/>
      <c r="BS48" s="742"/>
      <c r="BT48" s="742"/>
      <c r="BU48" s="742"/>
      <c r="BV48" s="742"/>
      <c r="BW48" s="62"/>
    </row>
    <row r="49" spans="2:75">
      <c r="B49" t="s">
        <v>797</v>
      </c>
      <c r="C49" t="s">
        <v>1259</v>
      </c>
      <c r="D49" s="932">
        <v>0</v>
      </c>
      <c r="E49" s="932">
        <v>4.88460852356947E-36</v>
      </c>
      <c r="F49" s="932">
        <v>0</v>
      </c>
      <c r="G49" s="932">
        <v>0</v>
      </c>
      <c r="H49" s="932">
        <v>2.0798313138656801</v>
      </c>
      <c r="I49" s="932">
        <v>2.3257184234648101</v>
      </c>
      <c r="J49" s="932">
        <v>2.0357774592418099</v>
      </c>
      <c r="K49" s="932">
        <v>1.9526930010173599E-2</v>
      </c>
      <c r="L49" s="932">
        <v>1.9526929801748898E-2</v>
      </c>
      <c r="M49" s="932">
        <v>2.0840603161314E-10</v>
      </c>
      <c r="N49" s="932">
        <v>4.9091542950447199E-36</v>
      </c>
      <c r="O49" s="932">
        <v>2.4698480492248001E-2</v>
      </c>
      <c r="P49" s="932">
        <v>2.0357316080638799</v>
      </c>
      <c r="Q49" s="932">
        <v>1.95269298261346E-2</v>
      </c>
      <c r="R49" s="932">
        <v>5.0573522370410697E-256</v>
      </c>
      <c r="S49" s="932">
        <v>0</v>
      </c>
      <c r="T49" s="932">
        <v>0</v>
      </c>
      <c r="U49" s="932">
        <v>0</v>
      </c>
      <c r="AA49" s="44"/>
      <c r="AB49" s="44"/>
      <c r="AF49" s="44"/>
      <c r="AG49" s="44"/>
      <c r="AH49" s="44"/>
      <c r="BQ49" s="742"/>
      <c r="BR49" s="742"/>
      <c r="BS49" s="742"/>
      <c r="BT49" s="742"/>
      <c r="BU49" s="742"/>
      <c r="BV49" s="742"/>
      <c r="BW49" s="62"/>
    </row>
    <row r="50" spans="2:75">
      <c r="B50" t="s">
        <v>137</v>
      </c>
      <c r="C50" t="s">
        <v>1259</v>
      </c>
      <c r="D50" s="932">
        <v>0</v>
      </c>
      <c r="E50" s="932">
        <v>7.42852798298417E-62</v>
      </c>
      <c r="F50" s="932">
        <v>0</v>
      </c>
      <c r="G50" s="932">
        <v>0</v>
      </c>
      <c r="H50" s="932">
        <v>12.900266999180801</v>
      </c>
      <c r="I50" s="932">
        <v>14.027632440195701</v>
      </c>
      <c r="J50" s="932">
        <v>0.59417385436525105</v>
      </c>
      <c r="K50" s="932">
        <v>5.1250834621078703E-6</v>
      </c>
      <c r="L50" s="932">
        <v>5.1250834621028296E-6</v>
      </c>
      <c r="M50" s="932">
        <v>1.81403521620538E-19</v>
      </c>
      <c r="N50" s="932">
        <v>7.4658572693308198E-62</v>
      </c>
      <c r="O50" s="932">
        <v>12.3071568626849</v>
      </c>
      <c r="P50" s="932">
        <v>0.59417385435039405</v>
      </c>
      <c r="Q50" s="932">
        <v>5.1250834685031596E-6</v>
      </c>
      <c r="R50" s="932">
        <v>0</v>
      </c>
      <c r="S50" s="932">
        <v>0</v>
      </c>
      <c r="T50" s="932">
        <v>0</v>
      </c>
      <c r="U50" s="932">
        <v>0</v>
      </c>
      <c r="Z50" s="44"/>
      <c r="AA50" s="44"/>
      <c r="AB50" s="44"/>
      <c r="AE50" s="44"/>
      <c r="AF50" s="44"/>
      <c r="AG50" s="44"/>
      <c r="AK50" s="895"/>
      <c r="BQ50" s="742"/>
      <c r="BR50" s="742"/>
      <c r="BS50" s="742"/>
      <c r="BT50" s="742"/>
      <c r="BU50" s="742"/>
      <c r="BV50" s="742"/>
      <c r="BW50" s="62"/>
    </row>
    <row r="51" spans="2:75">
      <c r="B51" t="s">
        <v>91</v>
      </c>
      <c r="C51" t="s">
        <v>1259</v>
      </c>
      <c r="D51" s="932">
        <v>0</v>
      </c>
      <c r="E51" s="932">
        <v>0</v>
      </c>
      <c r="F51" s="932">
        <v>0</v>
      </c>
      <c r="G51" s="932">
        <v>0</v>
      </c>
      <c r="H51" s="932">
        <v>0</v>
      </c>
      <c r="I51" s="932">
        <v>0</v>
      </c>
      <c r="J51" s="932">
        <v>0</v>
      </c>
      <c r="K51" s="932">
        <v>0</v>
      </c>
      <c r="L51" s="932">
        <v>0</v>
      </c>
      <c r="M51" s="932">
        <v>0</v>
      </c>
      <c r="N51" s="932">
        <v>0</v>
      </c>
      <c r="O51" s="932">
        <v>0</v>
      </c>
      <c r="P51" s="932">
        <v>0</v>
      </c>
      <c r="Q51" s="932">
        <v>0</v>
      </c>
      <c r="R51" s="932">
        <v>0</v>
      </c>
      <c r="S51" s="932">
        <v>0</v>
      </c>
      <c r="T51" s="932">
        <v>0</v>
      </c>
      <c r="U51" s="932">
        <v>0</v>
      </c>
      <c r="X51" s="44"/>
      <c r="Y51" s="44"/>
      <c r="Z51" s="44"/>
      <c r="AD51" s="44"/>
      <c r="AF51" s="44"/>
      <c r="AG51" s="44"/>
      <c r="BQ51" s="742"/>
      <c r="BR51" s="742"/>
      <c r="BS51" s="742"/>
      <c r="BT51" s="742"/>
      <c r="BU51" s="742"/>
      <c r="BV51" s="742"/>
      <c r="BW51" s="62"/>
    </row>
    <row r="52" spans="2:75">
      <c r="B52" t="s">
        <v>166</v>
      </c>
      <c r="C52" t="s">
        <v>1259</v>
      </c>
      <c r="D52" s="932">
        <v>0</v>
      </c>
      <c r="E52" s="932">
        <v>0</v>
      </c>
      <c r="F52" s="932">
        <v>0</v>
      </c>
      <c r="G52" s="932">
        <v>0</v>
      </c>
      <c r="H52" s="932">
        <v>0</v>
      </c>
      <c r="I52" s="932">
        <v>0</v>
      </c>
      <c r="J52" s="932">
        <v>0</v>
      </c>
      <c r="K52" s="932">
        <v>0</v>
      </c>
      <c r="L52" s="932">
        <v>0</v>
      </c>
      <c r="M52" s="932">
        <v>0</v>
      </c>
      <c r="N52" s="932">
        <v>0</v>
      </c>
      <c r="O52" s="932">
        <v>0</v>
      </c>
      <c r="P52" s="932">
        <v>0</v>
      </c>
      <c r="Q52" s="932">
        <v>0</v>
      </c>
      <c r="R52" s="932">
        <v>0</v>
      </c>
      <c r="S52" s="932">
        <v>0</v>
      </c>
      <c r="T52" s="932">
        <v>2172.1046501545702</v>
      </c>
      <c r="U52" s="932">
        <v>208.951964415698</v>
      </c>
      <c r="BQ52" s="742"/>
      <c r="BR52" s="742"/>
      <c r="BS52" s="742"/>
      <c r="BT52" s="742"/>
      <c r="BU52" s="742"/>
      <c r="BV52" s="742"/>
      <c r="BW52" s="62"/>
    </row>
    <row r="53" spans="2:75">
      <c r="B53" t="s">
        <v>167</v>
      </c>
      <c r="C53" t="s">
        <v>1259</v>
      </c>
      <c r="D53" s="932">
        <v>0</v>
      </c>
      <c r="E53" s="932">
        <v>0</v>
      </c>
      <c r="F53" s="932">
        <v>0</v>
      </c>
      <c r="G53" s="932">
        <v>21713.6719373124</v>
      </c>
      <c r="H53" s="932">
        <v>0</v>
      </c>
      <c r="I53" s="932">
        <v>0</v>
      </c>
      <c r="J53" s="932">
        <v>0</v>
      </c>
      <c r="K53" s="932">
        <v>0</v>
      </c>
      <c r="L53" s="932">
        <v>0</v>
      </c>
      <c r="M53" s="932">
        <v>0</v>
      </c>
      <c r="N53" s="932">
        <v>0</v>
      </c>
      <c r="O53" s="932">
        <v>0</v>
      </c>
      <c r="P53" s="932">
        <v>0</v>
      </c>
      <c r="Q53" s="932">
        <v>0</v>
      </c>
      <c r="R53" s="932">
        <v>0</v>
      </c>
      <c r="S53" s="932">
        <v>0</v>
      </c>
      <c r="T53" s="932">
        <v>616.33613774045796</v>
      </c>
      <c r="U53" s="932">
        <v>9.2282653863397901E-2</v>
      </c>
      <c r="BQ53" s="742"/>
      <c r="BR53" s="742"/>
      <c r="BS53" s="742"/>
      <c r="BT53" s="742"/>
      <c r="BU53" s="742"/>
      <c r="BV53" s="742"/>
      <c r="BW53" s="62"/>
    </row>
    <row r="54" spans="2:75">
      <c r="B54" t="s">
        <v>168</v>
      </c>
      <c r="C54" t="s">
        <v>1259</v>
      </c>
      <c r="D54" s="932">
        <v>0</v>
      </c>
      <c r="E54" s="932">
        <v>0</v>
      </c>
      <c r="F54" s="932">
        <v>0</v>
      </c>
      <c r="G54" s="932">
        <v>0</v>
      </c>
      <c r="H54" s="932">
        <v>0</v>
      </c>
      <c r="I54" s="932">
        <v>0</v>
      </c>
      <c r="J54" s="932">
        <v>0</v>
      </c>
      <c r="K54" s="932">
        <v>0</v>
      </c>
      <c r="L54" s="932">
        <v>0</v>
      </c>
      <c r="M54" s="932">
        <v>0</v>
      </c>
      <c r="N54" s="932">
        <v>0</v>
      </c>
      <c r="O54" s="932">
        <v>0</v>
      </c>
      <c r="P54" s="932">
        <v>0</v>
      </c>
      <c r="Q54" s="932">
        <v>0</v>
      </c>
      <c r="R54" s="932">
        <v>0</v>
      </c>
      <c r="S54" s="932">
        <v>0</v>
      </c>
      <c r="T54" s="932">
        <v>1871.7013983770501</v>
      </c>
      <c r="U54" s="932">
        <v>12049.7394525368</v>
      </c>
      <c r="BQ54" s="742"/>
      <c r="BR54" s="742"/>
      <c r="BS54" s="742"/>
      <c r="BT54" s="742"/>
      <c r="BU54" s="742"/>
      <c r="BV54" s="742"/>
      <c r="BW54" s="62"/>
    </row>
    <row r="55" spans="2:75">
      <c r="B55" t="s">
        <v>849</v>
      </c>
      <c r="C55" t="s">
        <v>1259</v>
      </c>
      <c r="D55" s="932">
        <v>0</v>
      </c>
      <c r="E55" s="932">
        <v>0</v>
      </c>
      <c r="F55" s="932">
        <v>0</v>
      </c>
      <c r="G55" s="932">
        <v>0</v>
      </c>
      <c r="H55" s="932">
        <v>0</v>
      </c>
      <c r="I55" s="932">
        <v>0</v>
      </c>
      <c r="J55" s="932">
        <v>0</v>
      </c>
      <c r="K55" s="932">
        <v>0</v>
      </c>
      <c r="L55" s="932">
        <v>0</v>
      </c>
      <c r="M55" s="932">
        <v>0</v>
      </c>
      <c r="N55" s="932">
        <v>0</v>
      </c>
      <c r="O55" s="932">
        <v>0</v>
      </c>
      <c r="P55" s="932">
        <v>0</v>
      </c>
      <c r="Q55" s="932">
        <v>0</v>
      </c>
      <c r="R55" s="932">
        <v>0</v>
      </c>
      <c r="S55" s="932">
        <v>0</v>
      </c>
      <c r="T55" s="932">
        <v>0</v>
      </c>
      <c r="U55" s="932">
        <v>0</v>
      </c>
      <c r="BQ55" s="742"/>
      <c r="BR55" s="742"/>
      <c r="BS55" s="742"/>
      <c r="BT55" s="742"/>
      <c r="BU55" s="742"/>
      <c r="BV55" s="742"/>
      <c r="BW55" s="62"/>
    </row>
    <row r="56" spans="2:75">
      <c r="B56" t="s">
        <v>850</v>
      </c>
      <c r="C56" t="s">
        <v>1259</v>
      </c>
      <c r="D56" s="932">
        <v>0</v>
      </c>
      <c r="E56" s="932">
        <v>0</v>
      </c>
      <c r="F56" s="932">
        <v>0</v>
      </c>
      <c r="G56" s="932">
        <v>0.8</v>
      </c>
      <c r="H56" s="932">
        <v>0</v>
      </c>
      <c r="I56" s="932">
        <v>0</v>
      </c>
      <c r="J56" s="932">
        <v>0</v>
      </c>
      <c r="K56" s="932">
        <v>0</v>
      </c>
      <c r="L56" s="932">
        <v>0</v>
      </c>
      <c r="M56" s="932">
        <v>0</v>
      </c>
      <c r="N56" s="932">
        <v>0</v>
      </c>
      <c r="O56" s="932">
        <v>0</v>
      </c>
      <c r="P56" s="932">
        <v>0</v>
      </c>
      <c r="Q56" s="932">
        <v>0</v>
      </c>
      <c r="R56" s="932">
        <v>0</v>
      </c>
      <c r="S56" s="932">
        <v>0</v>
      </c>
      <c r="T56" s="932">
        <v>0</v>
      </c>
      <c r="U56" s="932">
        <v>0.17804262578612701</v>
      </c>
      <c r="BQ56" s="742"/>
      <c r="BR56" s="742"/>
      <c r="BS56" s="742"/>
      <c r="BT56" s="742"/>
      <c r="BU56" s="742"/>
      <c r="BV56" s="742"/>
      <c r="BW56" s="62"/>
    </row>
    <row r="57" spans="2:75">
      <c r="B57" t="s">
        <v>1089</v>
      </c>
      <c r="C57" t="s">
        <v>1259</v>
      </c>
      <c r="D57" s="932">
        <v>0</v>
      </c>
      <c r="E57" s="932">
        <v>2.23203837026878E-3</v>
      </c>
      <c r="F57" s="932">
        <v>0</v>
      </c>
      <c r="G57" s="932">
        <v>0</v>
      </c>
      <c r="H57" s="932">
        <v>48.582822726761897</v>
      </c>
      <c r="I57" s="932">
        <v>48.6223651688411</v>
      </c>
      <c r="J57" s="932">
        <v>6.3175683446050899</v>
      </c>
      <c r="K57" s="932">
        <v>48.037889941776697</v>
      </c>
      <c r="L57" s="932">
        <v>48.035646687089397</v>
      </c>
      <c r="M57" s="932">
        <v>2.2432546416187599E-3</v>
      </c>
      <c r="N57" s="932">
        <v>8.3820718689482905E-18</v>
      </c>
      <c r="O57" s="932">
        <v>7.1556479886393399E-3</v>
      </c>
      <c r="P57" s="932">
        <v>0.54072306361241995</v>
      </c>
      <c r="Q57" s="932">
        <v>48.035646747077202</v>
      </c>
      <c r="R57" s="932">
        <v>4.9587409835742404E-97</v>
      </c>
      <c r="S57" s="932">
        <v>0</v>
      </c>
      <c r="T57" s="932">
        <v>0</v>
      </c>
      <c r="U57" s="932">
        <v>0</v>
      </c>
      <c r="AA57" s="44"/>
      <c r="AB57" s="44"/>
      <c r="AF57" s="44"/>
      <c r="AG57" s="44"/>
      <c r="BQ57" s="742"/>
      <c r="BR57" s="742"/>
      <c r="BS57" s="742"/>
      <c r="BT57" s="742"/>
      <c r="BU57" s="742"/>
      <c r="BV57" s="742"/>
      <c r="BW57" s="62"/>
    </row>
    <row r="58" spans="2:75">
      <c r="B58" t="s">
        <v>1078</v>
      </c>
      <c r="C58" t="s">
        <v>1259</v>
      </c>
      <c r="D58" s="932">
        <v>0</v>
      </c>
      <c r="E58" s="932">
        <v>0</v>
      </c>
      <c r="F58" s="932">
        <v>0</v>
      </c>
      <c r="G58" s="932">
        <v>0</v>
      </c>
      <c r="H58" s="932">
        <v>0</v>
      </c>
      <c r="I58" s="932">
        <v>0</v>
      </c>
      <c r="J58" s="932">
        <v>0</v>
      </c>
      <c r="K58" s="932">
        <v>0</v>
      </c>
      <c r="L58" s="932">
        <v>0</v>
      </c>
      <c r="M58" s="932">
        <v>0</v>
      </c>
      <c r="N58" s="932">
        <v>0</v>
      </c>
      <c r="O58" s="932">
        <v>0</v>
      </c>
      <c r="P58" s="932">
        <v>0</v>
      </c>
      <c r="Q58" s="932">
        <v>0</v>
      </c>
      <c r="R58" s="932">
        <v>0</v>
      </c>
      <c r="S58" s="932">
        <v>0</v>
      </c>
      <c r="T58" s="932">
        <v>0.986311487403709</v>
      </c>
      <c r="U58" s="932">
        <v>8.70634806882639E-14</v>
      </c>
      <c r="BQ58" s="745"/>
      <c r="BR58" s="745"/>
      <c r="BS58" s="742"/>
      <c r="BT58" s="742"/>
      <c r="BU58" s="745"/>
      <c r="BV58" s="745"/>
      <c r="BW58" s="62"/>
    </row>
    <row r="59" spans="2:75">
      <c r="BQ59" s="742"/>
      <c r="BR59" s="742"/>
      <c r="BS59" s="742"/>
      <c r="BT59" s="742"/>
      <c r="BU59" s="742"/>
      <c r="BV59" s="742"/>
      <c r="BW59" s="62"/>
    </row>
    <row r="60" spans="2:75">
      <c r="BQ60" s="742"/>
      <c r="BR60" s="742"/>
      <c r="BS60" s="742"/>
      <c r="BT60" s="742"/>
      <c r="BU60" s="742"/>
      <c r="BV60" s="742"/>
      <c r="BW60" s="62"/>
    </row>
    <row r="61" spans="2:75">
      <c r="BQ61" s="742"/>
      <c r="BR61" s="742"/>
      <c r="BS61" s="742"/>
      <c r="BT61" s="742"/>
      <c r="BU61" s="742"/>
      <c r="BV61" s="742"/>
      <c r="BW61" s="62"/>
    </row>
    <row r="62" spans="2:75" s="43" customFormat="1">
      <c r="BC62" s="744"/>
      <c r="BD62" s="744"/>
      <c r="BQ62" s="744"/>
      <c r="BR62" s="744"/>
      <c r="BS62" s="744"/>
      <c r="BT62" s="744"/>
      <c r="BU62" s="744"/>
      <c r="BV62" s="744"/>
      <c r="BW62" s="346"/>
    </row>
    <row r="63" spans="2:75">
      <c r="AA63" s="44"/>
      <c r="AF63" s="44"/>
      <c r="AG63" s="44"/>
      <c r="BC63"/>
      <c r="BD63"/>
      <c r="BQ63" s="742"/>
      <c r="BR63" s="742"/>
      <c r="BS63" s="742"/>
      <c r="BT63" s="742"/>
      <c r="BU63" s="745"/>
      <c r="BV63" s="742"/>
      <c r="BW63" s="62"/>
    </row>
    <row r="64" spans="2:75">
      <c r="AF64" s="44"/>
      <c r="BI64" s="44"/>
      <c r="BJ64" s="44"/>
      <c r="BQ64" s="742"/>
      <c r="BR64" s="742"/>
      <c r="BS64" s="742"/>
      <c r="BT64" s="742"/>
      <c r="BU64" s="742"/>
      <c r="BV64" s="742"/>
      <c r="BW64" s="62"/>
    </row>
    <row r="65" spans="24:75">
      <c r="BQ65" s="742"/>
      <c r="BR65" s="742"/>
      <c r="BS65" s="742"/>
      <c r="BT65" s="742"/>
      <c r="BU65" s="742"/>
      <c r="BV65" s="742"/>
      <c r="BW65" s="62"/>
    </row>
    <row r="66" spans="24:75">
      <c r="BB66" s="44"/>
      <c r="BQ66" s="742"/>
      <c r="BR66" s="742"/>
      <c r="BS66" s="742"/>
      <c r="BT66" s="742"/>
      <c r="BU66" s="742"/>
      <c r="BV66" s="742"/>
      <c r="BW66" s="62"/>
    </row>
    <row r="67" spans="24:75">
      <c r="BQ67" s="742"/>
      <c r="BR67" s="742"/>
      <c r="BS67" s="742"/>
      <c r="BT67" s="742"/>
      <c r="BU67" s="742"/>
      <c r="BV67" s="742"/>
      <c r="BW67" s="62"/>
    </row>
    <row r="68" spans="24:75">
      <c r="BQ68" s="742"/>
      <c r="BR68" s="742"/>
      <c r="BS68" s="742"/>
      <c r="BT68" s="742"/>
      <c r="BU68" s="742"/>
      <c r="BV68" s="742"/>
      <c r="BW68" s="62"/>
    </row>
    <row r="69" spans="24:75">
      <c r="X69" s="44"/>
      <c r="Y69" s="44"/>
      <c r="Z69" s="44"/>
      <c r="AB69" s="44"/>
      <c r="AC69" s="44"/>
      <c r="AG69" s="44"/>
      <c r="AH69" s="44"/>
      <c r="AJ69" s="44"/>
      <c r="AK69" s="44"/>
      <c r="AL69" s="44"/>
      <c r="AM69" s="44"/>
      <c r="AN69" s="44"/>
      <c r="AO69" s="44"/>
      <c r="AX69" s="44"/>
      <c r="AZ69" s="44"/>
      <c r="BA69" s="44"/>
      <c r="BB69" s="44"/>
      <c r="BQ69" s="742"/>
      <c r="BR69" s="742"/>
      <c r="BS69" s="742"/>
      <c r="BT69" s="742"/>
      <c r="BU69" s="742"/>
      <c r="BV69" s="742"/>
      <c r="BW69" s="62"/>
    </row>
    <row r="70" spans="24:75">
      <c r="AB70" s="44"/>
      <c r="AC70" s="44"/>
      <c r="AG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Z70" s="44"/>
      <c r="BA70" s="44"/>
      <c r="BB70" s="44"/>
      <c r="BQ70" s="742"/>
      <c r="BR70" s="742"/>
      <c r="BS70" s="742"/>
      <c r="BT70" s="742"/>
      <c r="BU70" s="742"/>
      <c r="BV70" s="742"/>
      <c r="BW70" s="62"/>
    </row>
    <row r="71" spans="24:75">
      <c r="AA71" s="44"/>
      <c r="AB71" s="44"/>
      <c r="AC71" s="44"/>
      <c r="AF71" s="44"/>
      <c r="AX71" s="44"/>
      <c r="AZ71" s="44"/>
      <c r="BA71" s="44"/>
      <c r="BB71" s="44"/>
      <c r="BQ71" s="742"/>
      <c r="BR71" s="742"/>
      <c r="BS71" s="742"/>
      <c r="BT71" s="742"/>
      <c r="BU71" s="742"/>
      <c r="BV71" s="742"/>
      <c r="BW71" s="62"/>
    </row>
    <row r="72" spans="24:75">
      <c r="AX72" s="44"/>
      <c r="AZ72" s="44"/>
      <c r="BA72" s="44"/>
      <c r="BB72" s="44"/>
      <c r="BI72" s="44"/>
      <c r="BJ72" s="44"/>
      <c r="BK72" s="44"/>
      <c r="BL72" s="44"/>
      <c r="BQ72" s="742"/>
      <c r="BR72" s="742"/>
      <c r="BS72" s="742"/>
      <c r="BT72" s="742"/>
      <c r="BU72" s="742"/>
      <c r="BV72" s="742"/>
      <c r="BW72" s="62"/>
    </row>
    <row r="73" spans="24:75">
      <c r="BQ73" s="742"/>
      <c r="BR73" s="742"/>
      <c r="BS73" s="742"/>
      <c r="BT73" s="742"/>
      <c r="BU73" s="742"/>
      <c r="BV73" s="742"/>
      <c r="BW73" s="62"/>
    </row>
    <row r="74" spans="24:75">
      <c r="BQ74" s="742"/>
      <c r="BR74" s="742"/>
      <c r="BS74" s="742"/>
      <c r="BT74" s="742"/>
      <c r="BU74" s="742"/>
      <c r="BV74" s="742"/>
      <c r="BW74" s="62"/>
    </row>
    <row r="75" spans="24:75">
      <c r="BQ75" s="742"/>
      <c r="BR75" s="742"/>
      <c r="BS75" s="742"/>
      <c r="BT75" s="742"/>
      <c r="BU75" s="742"/>
      <c r="BV75" s="742"/>
      <c r="BW75" s="62"/>
    </row>
    <row r="76" spans="24:75">
      <c r="BQ76" s="753"/>
      <c r="BR76" s="753"/>
      <c r="BS76" s="753"/>
      <c r="BT76" s="753"/>
      <c r="BU76" s="753"/>
      <c r="BV76" s="753"/>
      <c r="BW76" s="62"/>
    </row>
    <row r="77" spans="24:75">
      <c r="BQ77" s="742"/>
      <c r="BR77" s="742"/>
      <c r="BS77" s="742"/>
      <c r="BT77" s="742"/>
      <c r="BU77" s="742"/>
      <c r="BV77" s="742"/>
      <c r="BW77" s="62"/>
    </row>
    <row r="78" spans="24:75">
      <c r="X78" s="44"/>
      <c r="AW78" s="897"/>
      <c r="BQ78" s="742"/>
      <c r="BR78" s="742"/>
      <c r="BS78" s="742"/>
      <c r="BT78" s="742"/>
      <c r="BU78" s="742"/>
      <c r="BV78" s="742"/>
      <c r="BW78" s="62"/>
    </row>
    <row r="79" spans="24:75">
      <c r="BQ79" s="742"/>
      <c r="BR79" s="742"/>
      <c r="BS79" s="742"/>
      <c r="BT79" s="742"/>
      <c r="BU79" s="742"/>
      <c r="BV79" s="742"/>
      <c r="BW79" s="62"/>
    </row>
    <row r="80" spans="24:75">
      <c r="BQ80" s="742"/>
      <c r="BR80" s="742"/>
      <c r="BS80" s="742"/>
      <c r="BT80" s="742"/>
      <c r="BU80" s="745"/>
      <c r="BV80" s="742"/>
      <c r="BW80" s="62"/>
    </row>
    <row r="81" spans="2:75">
      <c r="Z81" s="44"/>
      <c r="AB81" s="44"/>
      <c r="AD81" s="44"/>
      <c r="BI81" s="44"/>
      <c r="BJ81" s="44"/>
      <c r="BQ81" s="742"/>
      <c r="BR81" s="742"/>
      <c r="BS81" s="742"/>
      <c r="BT81" s="742"/>
      <c r="BU81" s="742"/>
      <c r="BV81" s="742"/>
      <c r="BW81" s="62"/>
    </row>
    <row r="82" spans="2:75">
      <c r="B82" s="61"/>
      <c r="R82" s="44"/>
      <c r="AD82" s="44"/>
      <c r="BQ82" s="742"/>
      <c r="BR82" s="742"/>
      <c r="BS82" s="742"/>
      <c r="BT82" s="742"/>
      <c r="BU82" s="742"/>
      <c r="BV82" s="742"/>
      <c r="BW82" s="62"/>
    </row>
    <row r="83" spans="2:75">
      <c r="B83" s="61"/>
      <c r="D83" s="44"/>
      <c r="R83" s="44"/>
      <c r="AF83" s="44"/>
      <c r="AG83" s="44"/>
      <c r="AH83" s="44"/>
      <c r="AJ83" s="44"/>
      <c r="AK83" s="44"/>
      <c r="AL83" s="44"/>
      <c r="AM83" s="44"/>
      <c r="AN83" s="44"/>
      <c r="AO83" s="44"/>
      <c r="AX83" s="44"/>
      <c r="AZ83" s="44"/>
      <c r="BA83" s="44"/>
      <c r="BB83" s="44"/>
      <c r="BQ83" s="742"/>
      <c r="BR83" s="742"/>
      <c r="BS83" s="742"/>
      <c r="BT83" s="742"/>
      <c r="BU83" s="742"/>
      <c r="BV83" s="742"/>
      <c r="BW83" s="62"/>
    </row>
    <row r="84" spans="2:75">
      <c r="B84" s="61"/>
      <c r="D84" s="896"/>
      <c r="E84" s="896"/>
      <c r="F84" s="896"/>
      <c r="G84" s="896"/>
      <c r="H84" s="896"/>
      <c r="I84" s="896"/>
      <c r="J84" s="896"/>
      <c r="K84" s="896"/>
      <c r="L84" s="896"/>
      <c r="M84" s="896"/>
      <c r="N84" s="896"/>
      <c r="O84" s="896"/>
      <c r="P84" s="896"/>
      <c r="Q84" s="896"/>
      <c r="R84" s="896"/>
      <c r="S84" s="896"/>
      <c r="T84" s="896"/>
      <c r="U84" s="896"/>
      <c r="AH84" s="44"/>
      <c r="AJ84" s="44"/>
      <c r="AK84" s="44"/>
      <c r="AL84" s="44"/>
      <c r="AM84" s="44"/>
      <c r="AN84" s="44"/>
      <c r="AO84" s="44"/>
      <c r="BQ84" s="742"/>
      <c r="BR84" s="742"/>
      <c r="BS84" s="742"/>
      <c r="BT84" s="742"/>
      <c r="BU84" s="742"/>
      <c r="BV84" s="742"/>
      <c r="BW84" s="62"/>
    </row>
    <row r="85" spans="2:75">
      <c r="B85" s="61"/>
      <c r="BQ85" s="742"/>
      <c r="BR85" s="742"/>
      <c r="BS85" s="742"/>
      <c r="BT85" s="742"/>
      <c r="BU85" s="742"/>
      <c r="BV85" s="742"/>
      <c r="BW85" s="62"/>
    </row>
    <row r="86" spans="2:75">
      <c r="B86" s="61"/>
      <c r="AC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Z86" s="44"/>
      <c r="BA86" s="44"/>
      <c r="BB86" s="44"/>
      <c r="BQ86" s="742"/>
      <c r="BR86" s="742"/>
      <c r="BS86" s="742"/>
      <c r="BT86" s="742"/>
      <c r="BU86" s="742"/>
      <c r="BV86" s="742"/>
      <c r="BW86" s="62"/>
    </row>
    <row r="87" spans="2:75">
      <c r="B87" s="61"/>
      <c r="F87" s="44"/>
      <c r="G87" s="44"/>
      <c r="X87" s="44"/>
      <c r="Y87" s="44"/>
      <c r="AC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Z87" s="44"/>
      <c r="BA87" s="44"/>
      <c r="BB87" s="44"/>
      <c r="BQ87" s="742"/>
      <c r="BR87" s="742"/>
      <c r="BS87" s="742"/>
      <c r="BT87" s="742"/>
      <c r="BU87" s="742"/>
      <c r="BV87" s="742"/>
      <c r="BW87" s="62"/>
    </row>
    <row r="88" spans="2:75">
      <c r="B88" s="61"/>
      <c r="F88" s="44"/>
      <c r="G88" s="44"/>
      <c r="V88" s="44"/>
      <c r="X88" s="44"/>
      <c r="Y88" s="44"/>
      <c r="Z88" s="44"/>
      <c r="AA88" s="44"/>
      <c r="AC88" s="44"/>
      <c r="AE88" s="44"/>
      <c r="AG88" s="44"/>
      <c r="AH88" s="44"/>
      <c r="AX88" s="44"/>
      <c r="AZ88" s="44"/>
      <c r="BA88" s="44"/>
      <c r="BB88" s="44"/>
      <c r="BI88" s="44"/>
      <c r="BJ88" s="44"/>
      <c r="BK88" s="44"/>
      <c r="BL88" s="44"/>
      <c r="BM88" s="44"/>
      <c r="BN88" s="44"/>
      <c r="BO88" s="44"/>
      <c r="BQ88" s="742"/>
      <c r="BR88" s="742"/>
      <c r="BS88" s="742"/>
      <c r="BT88" s="742"/>
      <c r="BU88" s="742"/>
      <c r="BV88" s="742"/>
      <c r="BW88" s="62"/>
    </row>
    <row r="89" spans="2:75">
      <c r="B89" s="61"/>
      <c r="F89" s="44"/>
      <c r="G89" s="44"/>
      <c r="H89" s="44"/>
      <c r="I89" s="44"/>
      <c r="J89" s="44"/>
      <c r="K89" s="44"/>
      <c r="M89" s="44"/>
      <c r="N89" s="44"/>
      <c r="O89" s="44"/>
      <c r="Q89" s="44"/>
      <c r="R89" s="44"/>
      <c r="V89" s="44"/>
      <c r="X89" s="44"/>
      <c r="Y89" s="44"/>
      <c r="Z89" s="44"/>
      <c r="AA89" s="44"/>
      <c r="AE89" s="44"/>
      <c r="AG89" s="44"/>
      <c r="AH89" s="44"/>
      <c r="AX89" s="44"/>
      <c r="AZ89" s="44"/>
      <c r="BA89" s="44"/>
      <c r="BB89" s="44"/>
      <c r="BI89" s="44"/>
      <c r="BJ89" s="44"/>
      <c r="BK89" s="44"/>
      <c r="BL89" s="44"/>
      <c r="BM89" s="44"/>
      <c r="BN89" s="44"/>
      <c r="BO89" s="44"/>
      <c r="BQ89" s="742"/>
      <c r="BR89" s="742"/>
      <c r="BS89" s="742"/>
      <c r="BT89" s="742"/>
      <c r="BU89" s="742"/>
      <c r="BV89" s="742"/>
      <c r="BW89" s="62"/>
    </row>
    <row r="90" spans="2:75">
      <c r="B90" s="61"/>
      <c r="BQ90" s="742"/>
      <c r="BR90" s="742"/>
      <c r="BS90" s="742"/>
      <c r="BT90" s="742"/>
      <c r="BU90" s="742"/>
      <c r="BV90" s="742"/>
      <c r="BW90" s="62"/>
    </row>
    <row r="91" spans="2:75">
      <c r="B91" s="61"/>
      <c r="BQ91" s="742"/>
      <c r="BR91" s="742"/>
      <c r="BS91" s="742"/>
      <c r="BT91" s="742"/>
      <c r="BU91" s="742"/>
      <c r="BV91" s="742"/>
      <c r="BW91" s="62"/>
    </row>
    <row r="92" spans="2:75">
      <c r="B92" s="61"/>
      <c r="BQ92" s="742"/>
      <c r="BR92" s="742"/>
      <c r="BS92" s="745"/>
      <c r="BT92" s="742"/>
      <c r="BU92" s="745"/>
      <c r="BV92" s="742"/>
      <c r="BW92" s="62"/>
    </row>
    <row r="93" spans="2:75">
      <c r="B93" s="61"/>
      <c r="BQ93" s="753"/>
      <c r="BR93" s="753"/>
      <c r="BS93" s="753"/>
      <c r="BT93" s="753"/>
      <c r="BU93" s="753"/>
      <c r="BV93" s="753"/>
      <c r="BW93" s="62"/>
    </row>
    <row r="94" spans="2:75">
      <c r="B94" s="61"/>
      <c r="BQ94" s="742"/>
      <c r="BR94" s="742"/>
      <c r="BS94" s="742"/>
      <c r="BT94" s="742"/>
      <c r="BU94" s="742"/>
      <c r="BV94" s="742"/>
      <c r="BW94" s="62"/>
    </row>
    <row r="95" spans="2:75">
      <c r="B95" s="61"/>
      <c r="BD95" s="745"/>
      <c r="BF95" s="44"/>
      <c r="BQ95" s="742"/>
      <c r="BR95" s="742"/>
      <c r="BS95" s="745"/>
      <c r="BT95" s="742"/>
      <c r="BU95" s="745"/>
      <c r="BV95" s="742"/>
      <c r="BW95" s="62"/>
    </row>
    <row r="96" spans="2:75">
      <c r="B96" s="61"/>
      <c r="E96" s="44"/>
      <c r="BC96" s="759"/>
      <c r="BD96" s="759"/>
      <c r="BQ96" s="753"/>
      <c r="BR96" s="753"/>
      <c r="BS96" s="753"/>
      <c r="BT96" s="753"/>
      <c r="BU96" s="753"/>
      <c r="BV96" s="753"/>
      <c r="BW96" s="62"/>
    </row>
    <row r="97" spans="2:75">
      <c r="B97" s="61"/>
      <c r="BQ97" s="742"/>
      <c r="BR97" s="742"/>
      <c r="BS97" s="742"/>
      <c r="BT97" s="742"/>
      <c r="BU97" s="742"/>
      <c r="BV97" s="742"/>
      <c r="BW97" s="62"/>
    </row>
    <row r="98" spans="2:75">
      <c r="B98" s="61"/>
      <c r="E98" s="44"/>
      <c r="AA98" s="44"/>
      <c r="AC98" s="44"/>
      <c r="AE98" s="44"/>
      <c r="BC98" s="759"/>
      <c r="BD98" s="759"/>
      <c r="BI98" s="44"/>
      <c r="BJ98" s="44"/>
      <c r="BQ98" s="742"/>
      <c r="BR98" s="742"/>
      <c r="BS98" s="742"/>
      <c r="BT98" s="742"/>
      <c r="BU98" s="742"/>
      <c r="BV98" s="742"/>
      <c r="BW98" s="62"/>
    </row>
    <row r="99" spans="2:75">
      <c r="B99" s="61"/>
      <c r="AE99" s="44"/>
      <c r="BC99" s="759"/>
      <c r="BD99" s="759"/>
      <c r="BQ99" s="742"/>
      <c r="BR99" s="742"/>
      <c r="BS99" s="742"/>
      <c r="BT99" s="742"/>
      <c r="BU99" s="742"/>
      <c r="BV99" s="742"/>
      <c r="BW99" s="62"/>
    </row>
    <row r="100" spans="2:75">
      <c r="B100" s="61"/>
      <c r="BC100" s="759"/>
      <c r="BD100" s="759"/>
      <c r="BQ100" s="742"/>
      <c r="BR100" s="742"/>
      <c r="BS100" s="742"/>
      <c r="BT100" s="742"/>
      <c r="BU100" s="742"/>
      <c r="BV100" s="742"/>
      <c r="BW100" s="62"/>
    </row>
    <row r="101" spans="2:75">
      <c r="B101" s="61"/>
      <c r="BC101" s="759"/>
      <c r="BD101" s="759"/>
      <c r="BQ101" s="742"/>
      <c r="BR101" s="742"/>
      <c r="BS101" s="742"/>
      <c r="BT101" s="742"/>
      <c r="BU101" s="742"/>
      <c r="BV101" s="742"/>
      <c r="BW101" s="62"/>
    </row>
    <row r="102" spans="2:75">
      <c r="B102" s="61"/>
      <c r="BC102" s="759"/>
      <c r="BD102" s="759"/>
      <c r="BQ102" s="742"/>
      <c r="BR102" s="742"/>
      <c r="BS102" s="742"/>
      <c r="BT102" s="742"/>
      <c r="BU102" s="742"/>
      <c r="BV102" s="742"/>
      <c r="BW102" s="62"/>
    </row>
    <row r="103" spans="2:75">
      <c r="B103" s="61"/>
      <c r="AC103" s="44"/>
      <c r="AO103" s="44"/>
      <c r="AX103" s="44"/>
      <c r="AZ103" s="44"/>
      <c r="BA103" s="44"/>
      <c r="BB103" s="44"/>
      <c r="BC103" s="759"/>
      <c r="BD103" s="759"/>
      <c r="BQ103" s="742"/>
      <c r="BR103" s="742"/>
      <c r="BS103" s="742"/>
      <c r="BT103" s="742"/>
      <c r="BU103" s="742"/>
      <c r="BV103" s="742"/>
      <c r="BW103" s="62"/>
    </row>
    <row r="104" spans="2:75">
      <c r="B104" s="61"/>
      <c r="AC104" s="44"/>
      <c r="AI104" s="44"/>
      <c r="AJ104" s="44"/>
      <c r="AK104" s="44"/>
      <c r="AL104" s="44"/>
      <c r="AM104" s="44"/>
      <c r="AN104" s="44"/>
      <c r="AO104" s="44"/>
      <c r="AV104" s="44"/>
      <c r="AX104" s="44"/>
      <c r="AZ104" s="44"/>
      <c r="BA104" s="44"/>
      <c r="BB104" s="44"/>
      <c r="BC104" s="759"/>
      <c r="BD104" s="759"/>
      <c r="BQ104" s="742"/>
      <c r="BR104" s="742"/>
      <c r="BS104" s="742"/>
      <c r="BT104" s="742"/>
      <c r="BU104" s="742"/>
      <c r="BV104" s="742"/>
      <c r="BW104" s="62"/>
    </row>
    <row r="105" spans="2:75">
      <c r="B105" s="61"/>
      <c r="F105" s="44"/>
      <c r="G105" s="44"/>
      <c r="AC105" s="44"/>
      <c r="AG105" s="44"/>
      <c r="AH105" s="44"/>
      <c r="AX105" s="44"/>
      <c r="AZ105" s="44"/>
      <c r="BA105" s="44"/>
      <c r="BB105" s="44"/>
      <c r="BC105" s="759"/>
      <c r="BD105" s="759"/>
      <c r="BQ105" s="742"/>
      <c r="BR105" s="742"/>
      <c r="BS105" s="742"/>
      <c r="BT105" s="742"/>
      <c r="BU105" s="742"/>
      <c r="BV105" s="742"/>
      <c r="BW105" s="62"/>
    </row>
    <row r="106" spans="2:75">
      <c r="B106" s="61"/>
      <c r="F106" s="44"/>
      <c r="G106" s="44"/>
      <c r="V106" s="44"/>
      <c r="AG106" s="44"/>
      <c r="AH106" s="44"/>
      <c r="AX106" s="44"/>
      <c r="AZ106" s="44"/>
      <c r="BA106" s="44"/>
      <c r="BB106" s="44"/>
      <c r="BC106" s="759"/>
      <c r="BD106" s="759"/>
      <c r="BQ106" s="742"/>
      <c r="BR106" s="742"/>
      <c r="BS106" s="742"/>
      <c r="BT106" s="742"/>
      <c r="BU106" s="742"/>
      <c r="BV106" s="742"/>
      <c r="BW106" s="62"/>
    </row>
    <row r="107" spans="2:75">
      <c r="B107" s="61"/>
      <c r="BC107" s="759"/>
      <c r="BD107" s="759"/>
      <c r="BQ107" s="742"/>
      <c r="BR107" s="742"/>
      <c r="BS107" s="742"/>
      <c r="BT107" s="742"/>
      <c r="BU107" s="742"/>
      <c r="BV107" s="742"/>
      <c r="BW107" s="62"/>
    </row>
    <row r="108" spans="2:75">
      <c r="B108" s="61"/>
      <c r="BC108" s="759"/>
      <c r="BD108" s="759"/>
      <c r="BQ108" s="742"/>
      <c r="BR108" s="742"/>
      <c r="BS108" s="742"/>
      <c r="BT108" s="742"/>
      <c r="BU108" s="742"/>
      <c r="BV108" s="742"/>
      <c r="BW108" s="62"/>
    </row>
    <row r="109" spans="2:75">
      <c r="B109" s="61"/>
      <c r="BC109" s="759"/>
      <c r="BD109" s="759"/>
      <c r="BQ109" s="762"/>
      <c r="BR109" s="762"/>
      <c r="BS109" s="762"/>
      <c r="BT109" s="762"/>
      <c r="BU109" s="762"/>
      <c r="BV109" s="762"/>
      <c r="BW109" s="62"/>
    </row>
    <row r="110" spans="2:75">
      <c r="B110" s="61"/>
      <c r="BC110" s="759"/>
      <c r="BD110" s="759"/>
      <c r="BQ110" s="753"/>
      <c r="BR110" s="753"/>
      <c r="BS110" s="753"/>
      <c r="BT110" s="753"/>
      <c r="BU110" s="753"/>
      <c r="BV110" s="753"/>
      <c r="BW110" s="62"/>
    </row>
    <row r="111" spans="2:75">
      <c r="B111" s="61"/>
      <c r="BC111" s="759"/>
      <c r="BD111" s="759"/>
      <c r="BQ111" s="742"/>
      <c r="BR111" s="742"/>
      <c r="BS111" s="742"/>
      <c r="BT111" s="742"/>
      <c r="BU111" s="742"/>
      <c r="BV111" s="742"/>
      <c r="BW111" s="62"/>
    </row>
    <row r="112" spans="2:75">
      <c r="B112" s="61"/>
      <c r="BC112" s="759"/>
      <c r="BD112" s="759"/>
      <c r="BQ112" s="742"/>
      <c r="BR112" s="742"/>
      <c r="BS112" s="742"/>
      <c r="BT112" s="742"/>
      <c r="BU112" s="742"/>
      <c r="BV112" s="742"/>
      <c r="BW112" s="62"/>
    </row>
    <row r="113" spans="2:75">
      <c r="B113" s="61"/>
      <c r="BC113" s="759"/>
      <c r="BD113" s="759"/>
      <c r="BQ113" s="742"/>
      <c r="BR113" s="742"/>
      <c r="BS113" s="742"/>
      <c r="BT113" s="742"/>
      <c r="BU113" s="742"/>
      <c r="BV113" s="742"/>
      <c r="BW113" s="62"/>
    </row>
    <row r="114" spans="2:75">
      <c r="B114" s="61"/>
      <c r="BQ114" s="742"/>
      <c r="BR114" s="742"/>
      <c r="BS114" s="742"/>
      <c r="BT114" s="742"/>
      <c r="BU114" s="745"/>
      <c r="BV114" s="742"/>
      <c r="BW114" s="62"/>
    </row>
    <row r="115" spans="2:75">
      <c r="B115" s="61"/>
      <c r="L115" s="44"/>
      <c r="T115" s="44"/>
      <c r="AA115" s="44"/>
      <c r="AC115" s="44"/>
      <c r="AE115" s="44"/>
      <c r="BI115" s="44"/>
      <c r="BJ115" s="44"/>
      <c r="BQ115" s="742"/>
      <c r="BR115" s="742"/>
      <c r="BS115" s="742"/>
      <c r="BT115" s="742"/>
      <c r="BU115" s="742"/>
      <c r="BV115" s="742"/>
      <c r="BW115" s="62"/>
    </row>
    <row r="116" spans="2:75">
      <c r="B116" s="61"/>
      <c r="T116" s="44"/>
      <c r="AE116" s="44"/>
      <c r="BQ116" s="742"/>
      <c r="BR116" s="742"/>
      <c r="BS116" s="742"/>
      <c r="BT116" s="742"/>
      <c r="BU116" s="742"/>
      <c r="BV116" s="742"/>
      <c r="BW116" s="62"/>
    </row>
    <row r="117" spans="2:75">
      <c r="B117" s="61"/>
      <c r="T117" s="44"/>
      <c r="AI117" s="44"/>
      <c r="AJ117" s="44"/>
      <c r="AK117" s="44"/>
      <c r="AL117" s="44"/>
      <c r="AM117" s="44"/>
      <c r="AN117" s="44"/>
      <c r="AO117" s="44"/>
      <c r="AX117" s="44"/>
      <c r="AZ117" s="44"/>
      <c r="BA117" s="44"/>
      <c r="BB117" s="44"/>
      <c r="BQ117" s="742"/>
      <c r="BR117" s="742"/>
      <c r="BS117" s="742"/>
      <c r="BT117" s="742"/>
      <c r="BU117" s="742"/>
      <c r="BV117" s="742"/>
      <c r="BW117" s="62"/>
    </row>
    <row r="118" spans="2:75">
      <c r="B118" s="61"/>
      <c r="T118" s="44"/>
      <c r="BQ118" s="742"/>
      <c r="BR118" s="742"/>
      <c r="BS118" s="742"/>
      <c r="BT118" s="742"/>
      <c r="BU118" s="742"/>
      <c r="BV118" s="742"/>
      <c r="BW118" s="62"/>
    </row>
    <row r="119" spans="2:75">
      <c r="B119" s="61"/>
      <c r="BQ119" s="742"/>
      <c r="BR119" s="742"/>
      <c r="BS119" s="742"/>
      <c r="BT119" s="742"/>
      <c r="BU119" s="742"/>
      <c r="BV119" s="742"/>
      <c r="BW119" s="62"/>
    </row>
    <row r="120" spans="2:75">
      <c r="B120" s="61"/>
      <c r="F120" s="44"/>
      <c r="G120" s="44"/>
      <c r="L120" s="44"/>
      <c r="T120" s="44"/>
      <c r="AC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Z120" s="44"/>
      <c r="BA120" s="44"/>
      <c r="BB120" s="44"/>
      <c r="BQ120" s="742"/>
      <c r="BR120" s="742"/>
      <c r="BS120" s="742"/>
      <c r="BT120" s="742"/>
      <c r="BU120" s="742"/>
      <c r="BV120" s="742"/>
      <c r="BW120" s="62"/>
    </row>
    <row r="121" spans="2:75">
      <c r="B121" s="61"/>
      <c r="F121" s="44"/>
      <c r="G121" s="44"/>
      <c r="AC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Z121" s="44"/>
      <c r="BA121" s="44"/>
      <c r="BB121" s="44"/>
      <c r="BQ121" s="742"/>
      <c r="BR121" s="742"/>
      <c r="BS121" s="742"/>
      <c r="BT121" s="742"/>
      <c r="BU121" s="742"/>
      <c r="BV121" s="742"/>
      <c r="BW121" s="62"/>
    </row>
    <row r="122" spans="2:75">
      <c r="B122" s="61"/>
      <c r="F122" s="44"/>
      <c r="G122" s="44"/>
      <c r="V122" s="44"/>
      <c r="X122" s="44"/>
      <c r="Y122" s="44"/>
      <c r="Z122" s="44"/>
      <c r="AA122" s="44"/>
      <c r="AC122" s="44"/>
      <c r="AG122" s="44"/>
      <c r="AH122" s="44"/>
      <c r="AX122" s="44"/>
      <c r="AZ122" s="44"/>
      <c r="BA122" s="44"/>
      <c r="BB122" s="44"/>
      <c r="BI122" s="44"/>
      <c r="BJ122" s="44"/>
      <c r="BK122" s="44"/>
      <c r="BL122" s="44"/>
      <c r="BQ122" s="742"/>
      <c r="BR122" s="742"/>
      <c r="BS122" s="742"/>
      <c r="BT122" s="742"/>
      <c r="BU122" s="742"/>
      <c r="BV122" s="742"/>
      <c r="BW122" s="62"/>
    </row>
    <row r="123" spans="2:75">
      <c r="B123" s="61"/>
      <c r="F123" s="44"/>
      <c r="G123" s="44"/>
      <c r="Q123" s="44"/>
      <c r="R123" s="44"/>
      <c r="V123" s="44"/>
      <c r="X123" s="44"/>
      <c r="Y123" s="44"/>
      <c r="Z123" s="44"/>
      <c r="AA123" s="44"/>
      <c r="AE123" s="44"/>
      <c r="AG123" s="44"/>
      <c r="AH123" s="44"/>
      <c r="AX123" s="44"/>
      <c r="AZ123" s="44"/>
      <c r="BA123" s="44"/>
      <c r="BB123" s="44"/>
      <c r="BI123" s="44"/>
      <c r="BJ123" s="44"/>
      <c r="BK123" s="44"/>
      <c r="BL123" s="44"/>
      <c r="BQ123" s="742"/>
      <c r="BR123" s="742"/>
      <c r="BS123" s="742"/>
      <c r="BT123" s="742"/>
      <c r="BU123" s="742"/>
      <c r="BV123" s="742"/>
      <c r="BW123" s="62"/>
    </row>
    <row r="124" spans="2:75">
      <c r="B124" s="61"/>
      <c r="BQ124" s="742"/>
      <c r="BR124" s="742"/>
      <c r="BS124" s="742"/>
      <c r="BT124" s="742"/>
      <c r="BU124" s="742"/>
      <c r="BV124" s="742"/>
      <c r="BW124" s="62"/>
    </row>
    <row r="125" spans="2:75">
      <c r="B125" s="61"/>
      <c r="BQ125" s="742"/>
      <c r="BR125" s="742"/>
      <c r="BS125" s="742"/>
      <c r="BT125" s="742"/>
      <c r="BU125" s="742"/>
      <c r="BV125" s="742"/>
      <c r="BW125" s="62"/>
    </row>
    <row r="126" spans="2:75">
      <c r="B126" s="61"/>
      <c r="BQ126" s="742"/>
      <c r="BR126" s="742"/>
      <c r="BS126" s="745"/>
      <c r="BT126" s="742"/>
      <c r="BU126" s="745"/>
      <c r="BV126" s="742"/>
      <c r="BW126" s="62"/>
    </row>
    <row r="127" spans="2:75">
      <c r="B127" s="61"/>
      <c r="BQ127" s="753"/>
      <c r="BR127" s="753"/>
      <c r="BS127" s="753"/>
      <c r="BT127" s="753"/>
      <c r="BU127" s="753"/>
      <c r="BV127" s="753"/>
      <c r="BW127" s="62"/>
    </row>
    <row r="128" spans="2:75">
      <c r="B128" s="61"/>
      <c r="BQ128" s="742"/>
      <c r="BR128" s="742"/>
      <c r="BS128" s="742"/>
      <c r="BT128" s="742"/>
      <c r="BU128" s="742"/>
      <c r="BV128" s="742"/>
      <c r="BW128" s="62"/>
    </row>
    <row r="129" spans="1:75">
      <c r="B129" s="61"/>
      <c r="BD129" s="745"/>
      <c r="BF129" s="44"/>
      <c r="BQ129" s="742"/>
      <c r="BR129" s="742"/>
      <c r="BS129" s="745"/>
      <c r="BT129" s="742"/>
      <c r="BU129" s="745"/>
      <c r="BV129" s="742"/>
      <c r="BW129" s="62"/>
    </row>
    <row r="130" spans="1:75">
      <c r="B130" s="61"/>
      <c r="D130" s="279"/>
      <c r="E130" s="44"/>
      <c r="BQ130" s="742"/>
      <c r="BR130" s="742"/>
      <c r="BS130" s="742"/>
      <c r="BT130" s="742"/>
      <c r="BU130" s="742"/>
      <c r="BV130" s="742"/>
      <c r="BW130" s="62"/>
    </row>
    <row r="131" spans="1:75">
      <c r="B131" s="61"/>
      <c r="BQ131" s="742"/>
      <c r="BR131" s="742"/>
      <c r="BS131" s="742"/>
      <c r="BT131" s="742"/>
      <c r="BU131" s="742"/>
      <c r="BV131" s="742"/>
      <c r="BW131" s="62"/>
    </row>
    <row r="132" spans="1:75" ht="17.25" thickBot="1">
      <c r="B132" s="74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  <c r="AN132" s="75"/>
      <c r="AO132" s="75"/>
      <c r="AP132" s="75"/>
      <c r="AQ132" s="75"/>
      <c r="AR132" s="75"/>
      <c r="AS132" s="75"/>
      <c r="AT132" s="75"/>
      <c r="AU132" s="75"/>
      <c r="AV132" s="75"/>
      <c r="AW132" s="75"/>
      <c r="AX132" s="75"/>
      <c r="AY132" s="75"/>
      <c r="AZ132" s="75"/>
      <c r="BA132" s="75"/>
      <c r="BB132" s="75"/>
      <c r="BC132" s="746"/>
      <c r="BD132" s="746"/>
      <c r="BE132" s="75"/>
      <c r="BF132" s="75"/>
      <c r="BG132" s="75"/>
      <c r="BH132" s="75"/>
      <c r="BI132" s="75"/>
      <c r="BJ132" s="75"/>
      <c r="BK132" s="75"/>
      <c r="BL132" s="75"/>
      <c r="BM132" s="75"/>
      <c r="BN132" s="75"/>
      <c r="BO132" s="75"/>
      <c r="BP132" s="75"/>
      <c r="BQ132" s="746"/>
      <c r="BR132" s="746"/>
      <c r="BS132" s="746"/>
      <c r="BT132" s="746"/>
      <c r="BU132" s="746"/>
      <c r="BV132" s="746"/>
      <c r="BW132" s="76"/>
    </row>
    <row r="133" spans="1:75">
      <c r="BC133"/>
      <c r="BD133"/>
    </row>
    <row r="134" spans="1:75">
      <c r="A134" s="311" t="s">
        <v>836</v>
      </c>
      <c r="BC134"/>
      <c r="BD134"/>
    </row>
    <row r="135" spans="1:75">
      <c r="BC135"/>
      <c r="BD135"/>
    </row>
    <row r="136" spans="1:75">
      <c r="BC136"/>
      <c r="BD136"/>
    </row>
    <row r="137" spans="1:75">
      <c r="BC137"/>
      <c r="BD137"/>
    </row>
    <row r="138" spans="1:75">
      <c r="BC138"/>
      <c r="BD138"/>
    </row>
    <row r="139" spans="1:75">
      <c r="BC139"/>
      <c r="BD139"/>
    </row>
    <row r="140" spans="1:75">
      <c r="BC140"/>
      <c r="BD140"/>
    </row>
    <row r="141" spans="1:75">
      <c r="BC141"/>
      <c r="BD141"/>
    </row>
    <row r="142" spans="1:75">
      <c r="BC142"/>
      <c r="BD142"/>
    </row>
    <row r="143" spans="1:75">
      <c r="BC143"/>
      <c r="BD143"/>
    </row>
    <row r="144" spans="1:75">
      <c r="BC144"/>
      <c r="BD144"/>
    </row>
    <row r="145" spans="55:56">
      <c r="BC145"/>
      <c r="BD145"/>
    </row>
    <row r="146" spans="55:56">
      <c r="BC146"/>
      <c r="BD146"/>
    </row>
    <row r="147" spans="55:56">
      <c r="BC147"/>
      <c r="BD147"/>
    </row>
    <row r="148" spans="55:56">
      <c r="BC148"/>
      <c r="BD148"/>
    </row>
    <row r="149" spans="55:56">
      <c r="BC149"/>
      <c r="BD149"/>
    </row>
    <row r="150" spans="55:56">
      <c r="BC150"/>
      <c r="BD150"/>
    </row>
    <row r="151" spans="55:56">
      <c r="BC151"/>
      <c r="BD151"/>
    </row>
    <row r="152" spans="55:56">
      <c r="BC152"/>
      <c r="BD152"/>
    </row>
    <row r="153" spans="55:56">
      <c r="BC153"/>
      <c r="BD153"/>
    </row>
    <row r="154" spans="55:56">
      <c r="BC154"/>
      <c r="BD154"/>
    </row>
    <row r="155" spans="55:56">
      <c r="BC155"/>
      <c r="BD155"/>
    </row>
    <row r="156" spans="55:56">
      <c r="BC156"/>
      <c r="BD156"/>
    </row>
    <row r="157" spans="55:56">
      <c r="BC157"/>
      <c r="BD157"/>
    </row>
    <row r="158" spans="55:56">
      <c r="BC158"/>
      <c r="BD158"/>
    </row>
    <row r="159" spans="55:56">
      <c r="BC159"/>
      <c r="BD159"/>
    </row>
    <row r="160" spans="55:56">
      <c r="BC160"/>
      <c r="BD160"/>
    </row>
    <row r="161" spans="2:87">
      <c r="BC161"/>
      <c r="BD161"/>
    </row>
    <row r="162" spans="2:87">
      <c r="BC162"/>
      <c r="BD162"/>
    </row>
    <row r="163" spans="2:87">
      <c r="BC163"/>
      <c r="BD163"/>
    </row>
    <row r="164" spans="2:87">
      <c r="BC164"/>
      <c r="BD164"/>
    </row>
    <row r="165" spans="2:87">
      <c r="BC165"/>
      <c r="BD165"/>
    </row>
    <row r="166" spans="2:87">
      <c r="BC166"/>
      <c r="BD166"/>
    </row>
    <row r="167" spans="2:87">
      <c r="BC167"/>
      <c r="BD167"/>
    </row>
    <row r="168" spans="2:87">
      <c r="BC168"/>
      <c r="BD168"/>
    </row>
    <row r="169" spans="2:87">
      <c r="BC169"/>
      <c r="BD169"/>
    </row>
    <row r="170" spans="2:87">
      <c r="BC170"/>
      <c r="BD170"/>
    </row>
    <row r="171" spans="2:87">
      <c r="BC171"/>
      <c r="BD171"/>
    </row>
    <row r="172" spans="2:87">
      <c r="BC172"/>
      <c r="BD172"/>
    </row>
    <row r="173" spans="2:87" ht="17.25" thickBot="1">
      <c r="BC173"/>
      <c r="BD173"/>
    </row>
    <row r="174" spans="2:87">
      <c r="B174" s="338"/>
      <c r="C174" s="170" t="s">
        <v>76</v>
      </c>
      <c r="D174" s="170">
        <v>1</v>
      </c>
      <c r="E174" s="170">
        <v>2</v>
      </c>
      <c r="F174" s="170">
        <v>3</v>
      </c>
      <c r="G174" s="170">
        <v>4</v>
      </c>
      <c r="H174" s="170">
        <v>5</v>
      </c>
      <c r="I174" s="170">
        <v>6</v>
      </c>
      <c r="J174" s="170">
        <v>7</v>
      </c>
      <c r="K174" s="170">
        <v>8</v>
      </c>
      <c r="L174" s="170">
        <v>9</v>
      </c>
      <c r="M174" s="170">
        <v>10</v>
      </c>
      <c r="N174" s="170">
        <v>11</v>
      </c>
      <c r="O174" s="170">
        <v>12</v>
      </c>
      <c r="P174" s="170">
        <v>13</v>
      </c>
      <c r="Q174" s="170">
        <v>14</v>
      </c>
      <c r="R174" s="170">
        <v>15</v>
      </c>
      <c r="S174" s="170">
        <v>16</v>
      </c>
      <c r="T174" s="170">
        <v>17</v>
      </c>
      <c r="U174" s="170">
        <v>18</v>
      </c>
      <c r="X174" s="170"/>
      <c r="Y174" s="170"/>
      <c r="Z174" s="170"/>
      <c r="AA174" s="170"/>
      <c r="AB174" s="170"/>
      <c r="AC174" s="170"/>
      <c r="AD174" s="170"/>
      <c r="AE174" s="170"/>
      <c r="AF174" s="170"/>
      <c r="AG174" s="170"/>
      <c r="AH174" s="792"/>
      <c r="AI174" s="170"/>
      <c r="AJ174" s="170"/>
      <c r="AK174" s="170"/>
      <c r="AL174" s="170"/>
      <c r="AM174" s="170"/>
      <c r="AN174" s="170"/>
      <c r="AO174" s="170"/>
      <c r="AP174" s="170"/>
      <c r="AQ174" s="170"/>
      <c r="AR174" s="170"/>
      <c r="AS174" s="170"/>
      <c r="AT174" s="170"/>
      <c r="AU174" s="170"/>
      <c r="AV174" s="170"/>
      <c r="AW174" s="170"/>
      <c r="AX174" s="170"/>
      <c r="AY174" s="170"/>
      <c r="AZ174" s="170"/>
      <c r="BA174" s="743"/>
      <c r="BB174" s="743"/>
      <c r="BC174" s="170"/>
      <c r="BD174" s="170"/>
      <c r="BE174" s="170"/>
      <c r="BF174" s="170"/>
      <c r="BG174" s="170"/>
      <c r="BH174" s="170"/>
      <c r="BI174" s="170"/>
      <c r="BJ174" s="170"/>
      <c r="BK174" s="170"/>
      <c r="BL174" s="170"/>
      <c r="BM174" s="170"/>
      <c r="BN174" s="170"/>
      <c r="BO174" s="170"/>
      <c r="BP174" s="170"/>
      <c r="BQ174" s="170"/>
      <c r="BR174" s="170"/>
      <c r="BS174" s="170"/>
      <c r="CD174" s="743">
        <v>49</v>
      </c>
      <c r="CE174" s="743">
        <v>50</v>
      </c>
      <c r="CF174" s="743" t="s">
        <v>1074</v>
      </c>
      <c r="CG174" s="743">
        <v>52</v>
      </c>
      <c r="CH174" s="743" t="s">
        <v>1075</v>
      </c>
      <c r="CI174" s="743">
        <v>54</v>
      </c>
    </row>
    <row r="175" spans="2:87">
      <c r="B175" s="61" t="s">
        <v>90</v>
      </c>
      <c r="C175" t="s">
        <v>91</v>
      </c>
      <c r="D175" s="897">
        <v>30</v>
      </c>
      <c r="E175" s="897">
        <v>-17.405866980814999</v>
      </c>
      <c r="F175" s="897">
        <v>30</v>
      </c>
      <c r="G175" s="897">
        <v>30</v>
      </c>
      <c r="H175" s="897">
        <v>35</v>
      </c>
      <c r="I175" s="897">
        <v>5</v>
      </c>
      <c r="J175" s="897">
        <v>-60</v>
      </c>
      <c r="K175" s="897">
        <v>-115.58739766906299</v>
      </c>
      <c r="L175" s="897">
        <v>-140</v>
      </c>
      <c r="M175" s="897">
        <v>-140</v>
      </c>
      <c r="N175" s="897">
        <v>-121.634858221516</v>
      </c>
      <c r="O175" s="897">
        <v>35</v>
      </c>
      <c r="P175" s="897">
        <v>236.73034156642899</v>
      </c>
      <c r="Q175" s="897">
        <v>-86.622041595458001</v>
      </c>
      <c r="R175" s="897">
        <v>-104.10277949618001</v>
      </c>
      <c r="S175" s="897">
        <v>30</v>
      </c>
      <c r="T175" s="897">
        <v>70.357541108315004</v>
      </c>
      <c r="U175" s="897">
        <v>454.88512317365399</v>
      </c>
      <c r="BA175" s="742"/>
      <c r="BB175" s="742"/>
      <c r="BC175"/>
      <c r="BD175"/>
      <c r="CD175" s="742"/>
      <c r="CE175" s="742"/>
      <c r="CF175" s="742"/>
      <c r="CG175" s="742"/>
      <c r="CH175" s="742"/>
      <c r="CI175" s="742"/>
    </row>
    <row r="176" spans="2:87">
      <c r="B176" s="61" t="s">
        <v>92</v>
      </c>
      <c r="C176" t="s">
        <v>93</v>
      </c>
      <c r="D176" s="897">
        <v>1.0129999999999999</v>
      </c>
      <c r="E176" s="897">
        <v>1.0129999999999999</v>
      </c>
      <c r="F176" s="897">
        <v>1.0129999999999999</v>
      </c>
      <c r="G176" s="897">
        <v>1.0129999999999999</v>
      </c>
      <c r="H176" s="897">
        <v>12.000000884052699</v>
      </c>
      <c r="I176" s="897">
        <v>30</v>
      </c>
      <c r="J176" s="897">
        <v>30</v>
      </c>
      <c r="K176" s="897">
        <v>30</v>
      </c>
      <c r="L176" s="897">
        <v>30</v>
      </c>
      <c r="M176" s="897">
        <v>30</v>
      </c>
      <c r="N176" s="897">
        <v>10</v>
      </c>
      <c r="O176" s="897">
        <v>12.000000884052699</v>
      </c>
      <c r="P176" s="897">
        <v>30</v>
      </c>
      <c r="Q176" s="897">
        <v>1.0129999999999999</v>
      </c>
      <c r="R176" s="897">
        <v>1.0129999999999999</v>
      </c>
      <c r="S176" s="897">
        <v>30</v>
      </c>
      <c r="T176" s="897">
        <v>1</v>
      </c>
      <c r="U176" s="897">
        <v>100</v>
      </c>
      <c r="BA176" s="742"/>
      <c r="BB176" s="742"/>
      <c r="BC176"/>
      <c r="BD176"/>
      <c r="CD176" s="742" t="s">
        <v>566</v>
      </c>
      <c r="CE176" s="742" t="s">
        <v>569</v>
      </c>
      <c r="CF176" s="742" t="s">
        <v>569</v>
      </c>
      <c r="CG176" s="742"/>
      <c r="CH176" s="742" t="s">
        <v>1076</v>
      </c>
      <c r="CI176" s="742" t="s">
        <v>1077</v>
      </c>
    </row>
    <row r="177" spans="2:87">
      <c r="B177" t="s">
        <v>118</v>
      </c>
      <c r="C177" t="s">
        <v>119</v>
      </c>
      <c r="D177" s="932">
        <v>211552.667568</v>
      </c>
      <c r="E177" s="932">
        <v>973264.55249084195</v>
      </c>
      <c r="F177" s="932">
        <v>128009.95150775999</v>
      </c>
      <c r="G177" s="932">
        <v>520891.40502596903</v>
      </c>
      <c r="H177" s="932">
        <v>961723.570990348</v>
      </c>
      <c r="I177" s="932">
        <v>960620.50979697204</v>
      </c>
      <c r="J177" s="932">
        <v>19335.514139419502</v>
      </c>
      <c r="K177" s="932">
        <v>939991.20680040796</v>
      </c>
      <c r="L177" s="932">
        <v>245831.06841576099</v>
      </c>
      <c r="M177" s="932">
        <v>694160.13838464604</v>
      </c>
      <c r="N177" s="932">
        <v>100891.481468119</v>
      </c>
      <c r="O177" s="932">
        <v>2743.1846209826599</v>
      </c>
      <c r="P177" s="932">
        <v>18915.1988563829</v>
      </c>
      <c r="Q177" s="932">
        <v>11496.6287768208</v>
      </c>
      <c r="R177" s="932">
        <v>133442.95817103001</v>
      </c>
      <c r="S177" s="932">
        <v>31440.489703278799</v>
      </c>
      <c r="T177" s="932">
        <v>259541.218949648</v>
      </c>
      <c r="U177" s="932">
        <v>462488.73291194701</v>
      </c>
      <c r="BA177" s="760"/>
      <c r="BB177" s="761"/>
      <c r="BC177"/>
      <c r="BD177"/>
      <c r="CD177" s="742" t="s">
        <v>928</v>
      </c>
      <c r="CE177" s="742" t="s">
        <v>1077</v>
      </c>
      <c r="CF177" s="742"/>
      <c r="CG177" s="742" t="s">
        <v>1072</v>
      </c>
      <c r="CH177" s="742"/>
      <c r="CI177" s="742"/>
    </row>
    <row r="178" spans="2:87">
      <c r="B178" s="43" t="s">
        <v>115</v>
      </c>
      <c r="C178" t="s">
        <v>1259</v>
      </c>
      <c r="D178" s="933">
        <v>13186.8</v>
      </c>
      <c r="E178" s="933">
        <v>186082.30880588901</v>
      </c>
      <c r="F178" s="933">
        <v>7979.2972972081898</v>
      </c>
      <c r="G178" s="933">
        <v>16278.5664863047</v>
      </c>
      <c r="H178" s="933">
        <v>192970.258823538</v>
      </c>
      <c r="I178" s="933">
        <v>192950.62775699899</v>
      </c>
      <c r="J178" s="933">
        <v>264.93512391432301</v>
      </c>
      <c r="K178" s="933">
        <v>192687.73329861701</v>
      </c>
      <c r="L178" s="933">
        <v>11530.333007061299</v>
      </c>
      <c r="M178" s="933">
        <v>181157.400291556</v>
      </c>
      <c r="N178" s="933">
        <v>6437.4848596687298</v>
      </c>
      <c r="O178" s="933">
        <v>22.201642331450699</v>
      </c>
      <c r="P178" s="933">
        <v>245.65463718058601</v>
      </c>
      <c r="Q178" s="933">
        <v>336.18262608188201</v>
      </c>
      <c r="R178" s="933">
        <v>4756.6655213106196</v>
      </c>
      <c r="S178" s="933">
        <v>14585.698859497399</v>
      </c>
      <c r="T178" s="933">
        <v>9566.45676051601</v>
      </c>
      <c r="U178" s="933">
        <v>10699.892535971399</v>
      </c>
      <c r="BA178" s="742"/>
      <c r="BB178" s="742"/>
      <c r="BC178"/>
      <c r="BD178"/>
      <c r="CD178" s="742" t="s">
        <v>83</v>
      </c>
      <c r="CE178" s="742" t="s">
        <v>83</v>
      </c>
      <c r="CF178" s="742" t="s">
        <v>83</v>
      </c>
      <c r="CG178" s="742" t="s">
        <v>83</v>
      </c>
      <c r="CH178" s="742" t="s">
        <v>83</v>
      </c>
      <c r="CI178" s="742" t="s">
        <v>83</v>
      </c>
    </row>
    <row r="179" spans="2:87">
      <c r="B179" t="s">
        <v>132</v>
      </c>
      <c r="C179" t="s">
        <v>1259</v>
      </c>
      <c r="D179" s="932">
        <v>0</v>
      </c>
      <c r="E179" s="932">
        <v>143846.47644152999</v>
      </c>
      <c r="F179" s="932">
        <v>0</v>
      </c>
      <c r="G179" s="932">
        <v>0</v>
      </c>
      <c r="H179" s="932">
        <v>158295.65139044399</v>
      </c>
      <c r="I179" s="932">
        <v>158283.71694055299</v>
      </c>
      <c r="J179" s="932">
        <v>1.69461712722241</v>
      </c>
      <c r="K179" s="932">
        <v>158283.57252728901</v>
      </c>
      <c r="L179" s="932">
        <v>225.06672354831801</v>
      </c>
      <c r="M179" s="932">
        <v>158058.50580374099</v>
      </c>
      <c r="N179" s="932">
        <v>225.06672354768699</v>
      </c>
      <c r="O179" s="932">
        <v>7.8875336320213998E-2</v>
      </c>
      <c r="P179" s="932">
        <v>2.03395896779404E-10</v>
      </c>
      <c r="Q179" s="932">
        <v>3.9036005434345002E-131</v>
      </c>
      <c r="R179" s="932">
        <v>5.9429166381736103E-11</v>
      </c>
      <c r="S179" s="932">
        <v>14440.444099608099</v>
      </c>
      <c r="T179" s="932">
        <v>0</v>
      </c>
      <c r="U179" s="932">
        <v>0</v>
      </c>
      <c r="AI179" s="44"/>
      <c r="BA179" s="742"/>
      <c r="BB179" s="742"/>
      <c r="BC179"/>
      <c r="BD179"/>
      <c r="CD179" s="742"/>
      <c r="CE179" s="742"/>
      <c r="CF179" s="742"/>
      <c r="CG179" s="742"/>
      <c r="CH179" s="742"/>
      <c r="CI179" s="742"/>
    </row>
    <row r="180" spans="2:87">
      <c r="B180" t="s">
        <v>131</v>
      </c>
      <c r="C180" t="s">
        <v>1259</v>
      </c>
      <c r="D180" s="932">
        <v>13186.8</v>
      </c>
      <c r="E180" s="932">
        <v>41761.880280855803</v>
      </c>
      <c r="F180" s="932">
        <v>7979.2972972081898</v>
      </c>
      <c r="G180" s="932">
        <v>0</v>
      </c>
      <c r="H180" s="932">
        <v>28837.904013836</v>
      </c>
      <c r="I180" s="932">
        <v>28835.837173357799</v>
      </c>
      <c r="J180" s="932">
        <v>6.4321516586708496</v>
      </c>
      <c r="K180" s="932">
        <v>28835.624641488499</v>
      </c>
      <c r="L180" s="932">
        <v>6148.6806622622998</v>
      </c>
      <c r="M180" s="932">
        <v>22686.943979226198</v>
      </c>
      <c r="N180" s="932">
        <v>6148.04329538607</v>
      </c>
      <c r="O180" s="932">
        <v>9.2530506083148098E-2</v>
      </c>
      <c r="P180" s="932">
        <v>2.5752668502568701E-5</v>
      </c>
      <c r="Q180" s="932">
        <v>1.9701816560184699E-55</v>
      </c>
      <c r="R180" s="932">
        <v>0.63736686062219605</v>
      </c>
      <c r="S180" s="932">
        <v>145.25475988924299</v>
      </c>
      <c r="T180" s="932">
        <v>0</v>
      </c>
      <c r="U180" s="932">
        <v>0</v>
      </c>
      <c r="BA180" s="742"/>
      <c r="BB180" s="742"/>
      <c r="BC180"/>
      <c r="BD180"/>
      <c r="CD180" s="742"/>
      <c r="CE180" s="742"/>
      <c r="CF180" s="742"/>
      <c r="CG180" s="742"/>
      <c r="CH180" s="742"/>
      <c r="CI180" s="742"/>
    </row>
    <row r="181" spans="2:87">
      <c r="B181" t="s">
        <v>133</v>
      </c>
      <c r="C181" t="s">
        <v>1259</v>
      </c>
      <c r="D181" s="932">
        <v>0</v>
      </c>
      <c r="E181" s="932">
        <v>7.5975225617920197</v>
      </c>
      <c r="F181" s="932">
        <v>0</v>
      </c>
      <c r="G181" s="932">
        <v>0</v>
      </c>
      <c r="H181" s="932">
        <v>290.25931057273903</v>
      </c>
      <c r="I181" s="932">
        <v>290.24834021458702</v>
      </c>
      <c r="J181" s="932">
        <v>1.1842817340535701</v>
      </c>
      <c r="K181" s="932">
        <v>289.44429746703099</v>
      </c>
      <c r="L181" s="932">
        <v>281.92498402539701</v>
      </c>
      <c r="M181" s="932">
        <v>7.5193134416344796</v>
      </c>
      <c r="N181" s="932">
        <v>0.11636205959467</v>
      </c>
      <c r="O181" s="932">
        <v>6.3751869553338803E-3</v>
      </c>
      <c r="P181" s="932">
        <v>0.78624234844096497</v>
      </c>
      <c r="Q181" s="932">
        <v>277.71083376967698</v>
      </c>
      <c r="R181" s="932">
        <v>4.0977881970436796</v>
      </c>
      <c r="S181" s="932">
        <v>0</v>
      </c>
      <c r="T181" s="932">
        <v>0</v>
      </c>
      <c r="U181" s="932">
        <v>0</v>
      </c>
      <c r="BA181" s="742"/>
      <c r="BB181" s="742"/>
      <c r="BC181"/>
      <c r="BD181"/>
      <c r="CD181" s="742"/>
      <c r="CE181" s="742"/>
      <c r="CF181" s="742"/>
      <c r="CG181" s="742"/>
      <c r="CH181" s="742"/>
      <c r="CI181" s="742"/>
    </row>
    <row r="182" spans="2:87">
      <c r="B182" t="s">
        <v>134</v>
      </c>
      <c r="C182" t="s">
        <v>1259</v>
      </c>
      <c r="D182" s="932">
        <v>0</v>
      </c>
      <c r="E182" s="932">
        <v>466.35308680387197</v>
      </c>
      <c r="F182" s="932">
        <v>0</v>
      </c>
      <c r="G182" s="932">
        <v>0</v>
      </c>
      <c r="H182" s="932">
        <v>5232.0224983735197</v>
      </c>
      <c r="I182" s="932">
        <v>5231.71785779126</v>
      </c>
      <c r="J182" s="932">
        <v>12.122393958456801</v>
      </c>
      <c r="K182" s="932">
        <v>5230.1415044277501</v>
      </c>
      <c r="L182" s="932">
        <v>4825.7117908251503</v>
      </c>
      <c r="M182" s="932">
        <v>404.42971360258298</v>
      </c>
      <c r="N182" s="932">
        <v>64.258478675348499</v>
      </c>
      <c r="O182" s="932">
        <v>7.7267538531164498E-2</v>
      </c>
      <c r="P182" s="932">
        <v>1.3668023693240701</v>
      </c>
      <c r="Q182" s="932">
        <v>9.5229459119950306</v>
      </c>
      <c r="R182" s="932">
        <v>4751.9303662529001</v>
      </c>
      <c r="S182" s="932">
        <v>0</v>
      </c>
      <c r="T182" s="932">
        <v>0</v>
      </c>
      <c r="U182" s="932">
        <v>0</v>
      </c>
      <c r="BA182" s="742"/>
      <c r="BB182" s="742"/>
      <c r="BC182"/>
      <c r="BD182"/>
      <c r="CD182" s="742" t="s">
        <v>89</v>
      </c>
      <c r="CE182" s="742" t="s">
        <v>89</v>
      </c>
      <c r="CF182" s="742" t="s">
        <v>123</v>
      </c>
      <c r="CG182" s="742" t="s">
        <v>123</v>
      </c>
      <c r="CH182" s="742" t="s">
        <v>89</v>
      </c>
      <c r="CI182" s="742" t="s">
        <v>89</v>
      </c>
    </row>
    <row r="183" spans="2:87">
      <c r="B183" t="s">
        <v>135</v>
      </c>
      <c r="C183" t="s">
        <v>1259</v>
      </c>
      <c r="D183" s="932">
        <v>0</v>
      </c>
      <c r="E183" s="932">
        <v>0</v>
      </c>
      <c r="F183" s="932">
        <v>0</v>
      </c>
      <c r="G183" s="932">
        <v>0</v>
      </c>
      <c r="H183" s="932">
        <v>0</v>
      </c>
      <c r="I183" s="932">
        <v>0</v>
      </c>
      <c r="J183" s="932">
        <v>0</v>
      </c>
      <c r="K183" s="932">
        <v>0</v>
      </c>
      <c r="L183" s="932">
        <v>0</v>
      </c>
      <c r="M183" s="932">
        <v>0</v>
      </c>
      <c r="N183" s="932">
        <v>0</v>
      </c>
      <c r="O183" s="932">
        <v>0</v>
      </c>
      <c r="P183" s="932">
        <v>0</v>
      </c>
      <c r="Q183" s="932">
        <v>0</v>
      </c>
      <c r="R183" s="932">
        <v>0</v>
      </c>
      <c r="S183" s="932">
        <v>0</v>
      </c>
      <c r="T183" s="932">
        <v>0</v>
      </c>
      <c r="U183" s="932">
        <v>0</v>
      </c>
      <c r="BA183" s="742"/>
      <c r="BB183" s="742"/>
      <c r="BC183"/>
      <c r="BD183"/>
      <c r="CD183" s="742">
        <v>751.89470910708997</v>
      </c>
      <c r="CE183" s="742">
        <v>25</v>
      </c>
      <c r="CF183" s="742">
        <v>25</v>
      </c>
      <c r="CG183" s="742">
        <v>40</v>
      </c>
      <c r="CH183" s="742">
        <v>61.824197582422002</v>
      </c>
      <c r="CI183" s="742">
        <v>70.664026289606994</v>
      </c>
    </row>
    <row r="184" spans="2:87">
      <c r="B184" t="s">
        <v>165</v>
      </c>
      <c r="C184" t="s">
        <v>1259</v>
      </c>
      <c r="D184" s="932">
        <v>0</v>
      </c>
      <c r="E184" s="932">
        <v>0</v>
      </c>
      <c r="F184" s="932">
        <v>0</v>
      </c>
      <c r="G184" s="932">
        <v>0</v>
      </c>
      <c r="H184" s="932">
        <v>0</v>
      </c>
      <c r="I184" s="932">
        <v>0</v>
      </c>
      <c r="J184" s="932">
        <v>0</v>
      </c>
      <c r="K184" s="932">
        <v>0</v>
      </c>
      <c r="L184" s="932">
        <v>0</v>
      </c>
      <c r="M184" s="932">
        <v>0</v>
      </c>
      <c r="N184" s="932">
        <v>0</v>
      </c>
      <c r="O184" s="932">
        <v>0</v>
      </c>
      <c r="P184" s="932">
        <v>0</v>
      </c>
      <c r="Q184" s="932">
        <v>0</v>
      </c>
      <c r="R184" s="932">
        <v>0</v>
      </c>
      <c r="S184" s="932">
        <v>0</v>
      </c>
      <c r="T184" s="932">
        <v>0</v>
      </c>
      <c r="U184" s="932">
        <v>0</v>
      </c>
      <c r="BA184" s="742"/>
      <c r="BB184" s="742"/>
      <c r="BC184"/>
      <c r="BD184"/>
      <c r="CD184" s="742">
        <v>1.0129999999999999</v>
      </c>
      <c r="CE184" s="742">
        <v>1.0129999999999999</v>
      </c>
      <c r="CF184" s="742">
        <v>1.0129999999999999</v>
      </c>
      <c r="CG184" s="742">
        <v>1.01</v>
      </c>
      <c r="CH184" s="742">
        <v>1.9</v>
      </c>
      <c r="CI184" s="742">
        <v>1</v>
      </c>
    </row>
    <row r="185" spans="2:87">
      <c r="B185" t="s">
        <v>136</v>
      </c>
      <c r="C185" t="s">
        <v>1259</v>
      </c>
      <c r="D185" s="932">
        <v>0</v>
      </c>
      <c r="E185" s="932">
        <v>7.4581557402844895E-7</v>
      </c>
      <c r="F185" s="932">
        <v>0</v>
      </c>
      <c r="G185" s="932">
        <v>0</v>
      </c>
      <c r="H185" s="932">
        <v>236.48429727122499</v>
      </c>
      <c r="I185" s="932">
        <v>243.33751144288999</v>
      </c>
      <c r="J185" s="932">
        <v>229.06155652925901</v>
      </c>
      <c r="K185" s="932">
        <v>5.9904153877708097</v>
      </c>
      <c r="L185" s="932">
        <v>5.9904146382074099</v>
      </c>
      <c r="M185" s="932">
        <v>7.4956339099564897E-7</v>
      </c>
      <c r="N185" s="932">
        <v>1.9520815863439E-19</v>
      </c>
      <c r="O185" s="932">
        <v>1.4146569314509301</v>
      </c>
      <c r="P185" s="932">
        <v>229.06155311496801</v>
      </c>
      <c r="Q185" s="932">
        <v>5.9904146382269499</v>
      </c>
      <c r="R185" s="932">
        <v>1.6576132100126599E-184</v>
      </c>
      <c r="S185" s="932">
        <v>0</v>
      </c>
      <c r="T185" s="932">
        <v>0</v>
      </c>
      <c r="U185" s="932">
        <v>0</v>
      </c>
      <c r="BA185" s="742"/>
      <c r="BB185" s="742"/>
      <c r="BC185"/>
      <c r="BD185"/>
      <c r="CD185" s="742">
        <v>1</v>
      </c>
      <c r="CE185" s="742">
        <v>1</v>
      </c>
      <c r="CF185" s="742">
        <v>0</v>
      </c>
      <c r="CG185" s="742">
        <v>0</v>
      </c>
      <c r="CH185" s="742">
        <v>1</v>
      </c>
      <c r="CI185" s="742">
        <v>1</v>
      </c>
    </row>
    <row r="186" spans="2:87">
      <c r="B186" t="s">
        <v>797</v>
      </c>
      <c r="C186" t="s">
        <v>1259</v>
      </c>
      <c r="D186" s="932">
        <v>0</v>
      </c>
      <c r="E186" s="932">
        <v>1.85827744276593E-10</v>
      </c>
      <c r="F186" s="932">
        <v>0</v>
      </c>
      <c r="G186" s="932">
        <v>0</v>
      </c>
      <c r="H186" s="932">
        <v>3.2521055500626299</v>
      </c>
      <c r="I186" s="932">
        <v>3.5401487463996499</v>
      </c>
      <c r="J186" s="932">
        <v>3.1764499763435099</v>
      </c>
      <c r="K186" s="932">
        <v>1.6240967853173902E-2</v>
      </c>
      <c r="L186" s="932">
        <v>1.6240967666412399E-2</v>
      </c>
      <c r="M186" s="932">
        <v>1.8676155203982601E-10</v>
      </c>
      <c r="N186" s="932">
        <v>6.2522785804321304E-26</v>
      </c>
      <c r="O186" s="932">
        <v>5.9175204876185002E-2</v>
      </c>
      <c r="P186" s="932">
        <v>3.1764499757282301</v>
      </c>
      <c r="Q186" s="932">
        <v>1.6240967666465399E-2</v>
      </c>
      <c r="R186" s="932">
        <v>1.91773426719563E-256</v>
      </c>
      <c r="S186" s="932">
        <v>0</v>
      </c>
      <c r="T186" s="932">
        <v>0</v>
      </c>
      <c r="U186" s="932">
        <v>0</v>
      </c>
      <c r="BA186" s="742"/>
      <c r="BB186" s="742"/>
      <c r="BC186"/>
      <c r="BD186"/>
      <c r="CD186" s="742">
        <v>0</v>
      </c>
      <c r="CE186" s="742">
        <v>0</v>
      </c>
      <c r="CF186" s="742">
        <v>1</v>
      </c>
      <c r="CG186" s="742">
        <v>1</v>
      </c>
      <c r="CH186" s="742">
        <v>0</v>
      </c>
      <c r="CI186" s="742">
        <v>0</v>
      </c>
    </row>
    <row r="187" spans="2:87">
      <c r="B187" t="s">
        <v>137</v>
      </c>
      <c r="C187" t="s">
        <v>1259</v>
      </c>
      <c r="D187" s="932">
        <v>0</v>
      </c>
      <c r="E187" s="932">
        <v>1.05190829938399E-45</v>
      </c>
      <c r="F187" s="932">
        <v>0</v>
      </c>
      <c r="G187" s="932">
        <v>0</v>
      </c>
      <c r="H187" s="932">
        <v>20.958039529015501</v>
      </c>
      <c r="I187" s="932">
        <v>8.4695450604530205</v>
      </c>
      <c r="J187" s="932">
        <v>0.495801096386838</v>
      </c>
      <c r="K187" s="932">
        <v>2.3536126462738501E-6</v>
      </c>
      <c r="L187" s="932">
        <v>2.3536126462737798E-6</v>
      </c>
      <c r="M187" s="932">
        <v>8.0835415510694602E-20</v>
      </c>
      <c r="N187" s="932">
        <v>1.05719427073768E-45</v>
      </c>
      <c r="O187" s="932">
        <v>20.461098293772</v>
      </c>
      <c r="P187" s="932">
        <v>0.49580109638683501</v>
      </c>
      <c r="Q187" s="932">
        <v>2.3536126462814599E-6</v>
      </c>
      <c r="R187" s="932">
        <v>0</v>
      </c>
      <c r="S187" s="932">
        <v>0</v>
      </c>
      <c r="T187" s="932">
        <v>0</v>
      </c>
      <c r="U187" s="932">
        <v>0</v>
      </c>
      <c r="BA187" s="742"/>
      <c r="BB187" s="742"/>
      <c r="BC187"/>
      <c r="BD187"/>
      <c r="CD187" s="742">
        <v>0</v>
      </c>
      <c r="CE187" s="742">
        <v>0</v>
      </c>
      <c r="CF187" s="742">
        <v>0</v>
      </c>
      <c r="CG187" s="742">
        <v>0</v>
      </c>
      <c r="CH187" s="742">
        <v>0</v>
      </c>
      <c r="CI187" s="742">
        <v>0</v>
      </c>
    </row>
    <row r="188" spans="2:87">
      <c r="B188" t="s">
        <v>91</v>
      </c>
      <c r="C188" t="s">
        <v>1259</v>
      </c>
      <c r="D188" s="932">
        <v>0</v>
      </c>
      <c r="E188" s="932">
        <v>0</v>
      </c>
      <c r="F188" s="932">
        <v>0</v>
      </c>
      <c r="G188" s="932">
        <v>0</v>
      </c>
      <c r="H188" s="932">
        <v>0</v>
      </c>
      <c r="I188" s="932">
        <v>0</v>
      </c>
      <c r="J188" s="932">
        <v>0</v>
      </c>
      <c r="K188" s="932">
        <v>0</v>
      </c>
      <c r="L188" s="932">
        <v>0</v>
      </c>
      <c r="M188" s="932">
        <v>0</v>
      </c>
      <c r="N188" s="932">
        <v>0</v>
      </c>
      <c r="O188" s="932">
        <v>0</v>
      </c>
      <c r="P188" s="932">
        <v>0</v>
      </c>
      <c r="Q188" s="932">
        <v>0</v>
      </c>
      <c r="R188" s="932">
        <v>0</v>
      </c>
      <c r="S188" s="932">
        <v>0</v>
      </c>
      <c r="T188" s="932">
        <v>0</v>
      </c>
      <c r="U188" s="932">
        <v>0</v>
      </c>
      <c r="BA188" s="742"/>
      <c r="BB188" s="742"/>
      <c r="BC188"/>
      <c r="BD188"/>
      <c r="BN188" s="44"/>
      <c r="BQ188" s="44"/>
      <c r="CD188" s="742">
        <v>1</v>
      </c>
      <c r="CE188" s="742">
        <v>1</v>
      </c>
      <c r="CF188" s="742">
        <v>0</v>
      </c>
      <c r="CG188" s="742">
        <v>0</v>
      </c>
      <c r="CH188" s="742">
        <v>1</v>
      </c>
      <c r="CI188" s="742">
        <v>1</v>
      </c>
    </row>
    <row r="189" spans="2:87">
      <c r="B189" t="s">
        <v>166</v>
      </c>
      <c r="C189" t="s">
        <v>1259</v>
      </c>
      <c r="D189" s="932">
        <v>0</v>
      </c>
      <c r="E189" s="932">
        <v>0</v>
      </c>
      <c r="F189" s="932">
        <v>0</v>
      </c>
      <c r="G189" s="932">
        <v>0</v>
      </c>
      <c r="H189" s="932">
        <v>0</v>
      </c>
      <c r="I189" s="932">
        <v>0</v>
      </c>
      <c r="J189" s="932">
        <v>0</v>
      </c>
      <c r="K189" s="932">
        <v>0</v>
      </c>
      <c r="L189" s="932">
        <v>0</v>
      </c>
      <c r="M189" s="932">
        <v>0</v>
      </c>
      <c r="N189" s="932">
        <v>0</v>
      </c>
      <c r="O189" s="932">
        <v>0</v>
      </c>
      <c r="P189" s="932">
        <v>0</v>
      </c>
      <c r="Q189" s="932">
        <v>0</v>
      </c>
      <c r="R189" s="932">
        <v>0</v>
      </c>
      <c r="S189" s="932">
        <v>0</v>
      </c>
      <c r="T189" s="932">
        <v>2695.6741066412501</v>
      </c>
      <c r="U189" s="932">
        <v>323.31007263612901</v>
      </c>
      <c r="AI189" s="44"/>
      <c r="BA189" s="742"/>
      <c r="BB189" s="742"/>
      <c r="BC189"/>
      <c r="BD189"/>
      <c r="CD189" s="742">
        <v>0</v>
      </c>
      <c r="CE189" s="742">
        <v>0</v>
      </c>
      <c r="CF189" s="742">
        <v>1</v>
      </c>
      <c r="CG189" s="742">
        <v>1</v>
      </c>
      <c r="CH189" s="742">
        <v>0</v>
      </c>
      <c r="CI189" s="742">
        <v>0</v>
      </c>
    </row>
    <row r="190" spans="2:87">
      <c r="B190" t="s">
        <v>167</v>
      </c>
      <c r="C190" t="s">
        <v>1259</v>
      </c>
      <c r="D190" s="932">
        <v>0</v>
      </c>
      <c r="E190" s="932">
        <v>0</v>
      </c>
      <c r="F190" s="932">
        <v>0</v>
      </c>
      <c r="G190" s="932">
        <v>16277.766486304699</v>
      </c>
      <c r="H190" s="932">
        <v>0</v>
      </c>
      <c r="I190" s="932">
        <v>0</v>
      </c>
      <c r="J190" s="932">
        <v>0</v>
      </c>
      <c r="K190" s="932">
        <v>0</v>
      </c>
      <c r="L190" s="932">
        <v>0</v>
      </c>
      <c r="M190" s="932">
        <v>0</v>
      </c>
      <c r="N190" s="932">
        <v>0</v>
      </c>
      <c r="O190" s="932">
        <v>0</v>
      </c>
      <c r="P190" s="932">
        <v>0</v>
      </c>
      <c r="Q190" s="932">
        <v>0</v>
      </c>
      <c r="R190" s="932">
        <v>0</v>
      </c>
      <c r="S190" s="932">
        <v>0</v>
      </c>
      <c r="T190" s="932">
        <v>609.27719958096498</v>
      </c>
      <c r="U190" s="932">
        <v>7.9046293485561706E-2</v>
      </c>
      <c r="BA190" s="742"/>
      <c r="BB190" s="742"/>
      <c r="BC190"/>
      <c r="BD190"/>
      <c r="CD190" s="742">
        <v>0</v>
      </c>
      <c r="CE190" s="742">
        <v>0</v>
      </c>
      <c r="CF190" s="742">
        <v>0</v>
      </c>
      <c r="CG190" s="742">
        <v>0</v>
      </c>
      <c r="CH190" s="742">
        <v>0</v>
      </c>
      <c r="CI190" s="742">
        <v>0</v>
      </c>
    </row>
    <row r="191" spans="2:87">
      <c r="B191" t="s">
        <v>168</v>
      </c>
      <c r="C191" t="s">
        <v>1259</v>
      </c>
      <c r="D191" s="932">
        <v>0</v>
      </c>
      <c r="E191" s="932">
        <v>0</v>
      </c>
      <c r="F191" s="932">
        <v>0</v>
      </c>
      <c r="G191" s="932">
        <v>0</v>
      </c>
      <c r="H191" s="932">
        <v>0</v>
      </c>
      <c r="I191" s="932">
        <v>0</v>
      </c>
      <c r="J191" s="932">
        <v>0</v>
      </c>
      <c r="K191" s="932">
        <v>0</v>
      </c>
      <c r="L191" s="932">
        <v>0</v>
      </c>
      <c r="M191" s="932">
        <v>0</v>
      </c>
      <c r="N191" s="932">
        <v>0</v>
      </c>
      <c r="O191" s="932">
        <v>0</v>
      </c>
      <c r="P191" s="932">
        <v>0</v>
      </c>
      <c r="Q191" s="932">
        <v>0</v>
      </c>
      <c r="R191" s="932">
        <v>0</v>
      </c>
      <c r="S191" s="932">
        <v>0</v>
      </c>
      <c r="T191" s="932">
        <v>1001.67703475193</v>
      </c>
      <c r="U191" s="932">
        <v>10376.1184507949</v>
      </c>
      <c r="BA191" s="742"/>
      <c r="BB191" s="742"/>
      <c r="BC191"/>
      <c r="BD191"/>
      <c r="CD191" s="742">
        <v>-53899.406008163998</v>
      </c>
      <c r="CE191" s="742">
        <v>-64255.220888289201</v>
      </c>
      <c r="CF191" s="742">
        <v>-68280.839955521107</v>
      </c>
      <c r="CG191" s="742">
        <v>-67998.295310931106</v>
      </c>
      <c r="CH191" s="742">
        <v>-89477.615582750397</v>
      </c>
      <c r="CI191" s="742">
        <v>-26777.892457440801</v>
      </c>
    </row>
    <row r="192" spans="2:87">
      <c r="B192" t="s">
        <v>849</v>
      </c>
      <c r="C192" t="s">
        <v>1259</v>
      </c>
      <c r="D192" s="932">
        <v>0</v>
      </c>
      <c r="E192" s="932">
        <v>0</v>
      </c>
      <c r="F192" s="932">
        <v>0</v>
      </c>
      <c r="G192" s="932">
        <v>0</v>
      </c>
      <c r="H192" s="932">
        <v>0</v>
      </c>
      <c r="I192" s="932">
        <v>0</v>
      </c>
      <c r="J192" s="932">
        <v>0</v>
      </c>
      <c r="K192" s="932">
        <v>0</v>
      </c>
      <c r="L192" s="932">
        <v>0</v>
      </c>
      <c r="M192" s="932">
        <v>0</v>
      </c>
      <c r="N192" s="932">
        <v>0</v>
      </c>
      <c r="O192" s="932">
        <v>0</v>
      </c>
      <c r="P192" s="932">
        <v>0</v>
      </c>
      <c r="Q192" s="932">
        <v>0</v>
      </c>
      <c r="R192" s="932">
        <v>0</v>
      </c>
      <c r="S192" s="932">
        <v>0</v>
      </c>
      <c r="T192" s="932">
        <v>0</v>
      </c>
      <c r="U192" s="932">
        <v>0</v>
      </c>
      <c r="BA192" s="742"/>
      <c r="BB192" s="742"/>
      <c r="BC192"/>
      <c r="BD192"/>
      <c r="CD192" s="742">
        <v>-1962.6556048299501</v>
      </c>
      <c r="CE192" s="742">
        <v>-1672.3602383801499</v>
      </c>
      <c r="CF192" s="742">
        <v>-3787.9228014169498</v>
      </c>
      <c r="CG192" s="742">
        <v>-3770.5832041529602</v>
      </c>
      <c r="CH192" s="742">
        <v>-2182.3106719013399</v>
      </c>
      <c r="CI192" s="742">
        <v>-985.589938150227</v>
      </c>
    </row>
    <row r="193" spans="2:87">
      <c r="B193" t="s">
        <v>850</v>
      </c>
      <c r="C193" t="s">
        <v>1259</v>
      </c>
      <c r="D193" s="932">
        <v>0</v>
      </c>
      <c r="E193" s="932">
        <v>0</v>
      </c>
      <c r="F193" s="932">
        <v>0</v>
      </c>
      <c r="G193" s="932">
        <v>0.8</v>
      </c>
      <c r="H193" s="932">
        <v>0</v>
      </c>
      <c r="I193" s="932">
        <v>0</v>
      </c>
      <c r="J193" s="932">
        <v>0</v>
      </c>
      <c r="K193" s="932">
        <v>0</v>
      </c>
      <c r="L193" s="932">
        <v>0</v>
      </c>
      <c r="M193" s="932">
        <v>0</v>
      </c>
      <c r="N193" s="932">
        <v>0</v>
      </c>
      <c r="O193" s="932">
        <v>0</v>
      </c>
      <c r="P193" s="932">
        <v>0</v>
      </c>
      <c r="Q193" s="932">
        <v>0</v>
      </c>
      <c r="R193" s="932">
        <v>0</v>
      </c>
      <c r="S193" s="932">
        <v>0</v>
      </c>
      <c r="T193" s="932">
        <v>5258.2544461594098</v>
      </c>
      <c r="U193" s="932">
        <v>0.38496624690540598</v>
      </c>
      <c r="BA193" s="742"/>
      <c r="BB193" s="742"/>
      <c r="BC193"/>
      <c r="BD193"/>
      <c r="CD193" s="742">
        <v>7.71896613373214</v>
      </c>
      <c r="CE193" s="742">
        <v>1.75705588528221</v>
      </c>
      <c r="CF193" s="742">
        <v>-38.972575118469997</v>
      </c>
      <c r="CG193" s="742">
        <v>-38.1299241520028</v>
      </c>
      <c r="CH193" s="742">
        <v>-0.14160150535621299</v>
      </c>
      <c r="CI193" s="742">
        <v>0.27526904142136599</v>
      </c>
    </row>
    <row r="194" spans="2:87">
      <c r="B194" t="s">
        <v>1089</v>
      </c>
      <c r="C194" t="s">
        <v>1259</v>
      </c>
      <c r="D194" s="932">
        <v>0</v>
      </c>
      <c r="E194" s="932">
        <v>1.47339130397896E-3</v>
      </c>
      <c r="F194" s="932">
        <v>0</v>
      </c>
      <c r="G194" s="932">
        <v>0</v>
      </c>
      <c r="H194" s="932">
        <v>53.727167961167197</v>
      </c>
      <c r="I194" s="932">
        <v>53.760239833083403</v>
      </c>
      <c r="J194" s="932">
        <v>10.7678718339294</v>
      </c>
      <c r="K194" s="932">
        <v>42.943669235842897</v>
      </c>
      <c r="L194" s="932">
        <v>42.942188440593497</v>
      </c>
      <c r="M194" s="932">
        <v>1.4807952493979201E-3</v>
      </c>
      <c r="N194" s="932">
        <v>2.9897250995102798E-11</v>
      </c>
      <c r="O194" s="932">
        <v>1.16633334617555E-2</v>
      </c>
      <c r="P194" s="932">
        <v>10.7677625228662</v>
      </c>
      <c r="Q194" s="932">
        <v>42.942188440703802</v>
      </c>
      <c r="R194" s="932">
        <v>2.5813106773290901E-97</v>
      </c>
      <c r="S194" s="932">
        <v>0</v>
      </c>
      <c r="T194" s="932">
        <v>0</v>
      </c>
      <c r="U194" s="932">
        <v>0</v>
      </c>
      <c r="BA194" s="742"/>
      <c r="BB194" s="742"/>
      <c r="BC194"/>
      <c r="BD194"/>
      <c r="CD194" s="742">
        <v>0.28107308165079298</v>
      </c>
      <c r="CE194" s="742">
        <v>4.5730609256894497E-2</v>
      </c>
      <c r="CF194" s="742">
        <v>-2.1620282646984399</v>
      </c>
      <c r="CG194" s="742">
        <v>-2.11434788071894</v>
      </c>
      <c r="CH194" s="742">
        <v>-3.4535841649733401E-3</v>
      </c>
      <c r="CI194" s="742">
        <v>1.01315814133001E-2</v>
      </c>
    </row>
    <row r="195" spans="2:87">
      <c r="B195" t="s">
        <v>1078</v>
      </c>
      <c r="C195" t="s">
        <v>1259</v>
      </c>
      <c r="D195" s="932">
        <v>0</v>
      </c>
      <c r="E195" s="932">
        <v>0</v>
      </c>
      <c r="F195" s="932">
        <v>0</v>
      </c>
      <c r="G195" s="932">
        <v>0</v>
      </c>
      <c r="H195" s="932">
        <v>0</v>
      </c>
      <c r="I195" s="932">
        <v>0</v>
      </c>
      <c r="J195" s="932">
        <v>0</v>
      </c>
      <c r="K195" s="932">
        <v>0</v>
      </c>
      <c r="L195" s="932">
        <v>0</v>
      </c>
      <c r="M195" s="932">
        <v>0</v>
      </c>
      <c r="N195" s="932">
        <v>0</v>
      </c>
      <c r="O195" s="932">
        <v>0</v>
      </c>
      <c r="P195" s="932">
        <v>0</v>
      </c>
      <c r="Q195" s="932">
        <v>0</v>
      </c>
      <c r="R195" s="932">
        <v>0</v>
      </c>
      <c r="S195" s="932">
        <v>0</v>
      </c>
      <c r="T195" s="932">
        <v>1.57397338245327</v>
      </c>
      <c r="U195" s="932">
        <v>4.3855169886814299E-13</v>
      </c>
      <c r="BA195" s="742"/>
      <c r="BB195" s="742"/>
      <c r="BC195"/>
      <c r="BD195"/>
      <c r="CD195" s="745">
        <v>1.18874286377989E-5</v>
      </c>
      <c r="CE195" s="745">
        <v>4.10047732317232E-5</v>
      </c>
      <c r="CF195" s="742">
        <v>5.5294288886465801E-2</v>
      </c>
      <c r="CG195" s="742">
        <v>5.5024862341643901E-2</v>
      </c>
      <c r="CH195" s="745">
        <v>6.8751656672506105E-5</v>
      </c>
      <c r="CI195" s="745">
        <v>3.5055451680412801E-5</v>
      </c>
    </row>
    <row r="196" spans="2:87">
      <c r="B196" s="61"/>
      <c r="BA196" s="742"/>
      <c r="BB196" s="742"/>
      <c r="BC196"/>
      <c r="BD196"/>
      <c r="CD196" s="742">
        <v>3.2645836639144503E-4</v>
      </c>
      <c r="CE196" s="742">
        <v>1.57548039053513E-3</v>
      </c>
      <c r="CF196" s="742">
        <v>0.99673110774559703</v>
      </c>
      <c r="CG196" s="742">
        <v>0.99231249819110301</v>
      </c>
      <c r="CH196" s="742">
        <v>2.8189085933672401E-3</v>
      </c>
      <c r="CI196" s="742">
        <v>9.5243577354989695E-4</v>
      </c>
    </row>
    <row r="197" spans="2:87">
      <c r="B197" s="61"/>
      <c r="E197" s="44"/>
      <c r="BA197" s="742"/>
      <c r="BB197" s="742"/>
      <c r="BC197"/>
      <c r="BD197"/>
      <c r="CD197" s="742">
        <v>-441837073.57396102</v>
      </c>
      <c r="CE197" s="742">
        <v>-243700848.26548699</v>
      </c>
      <c r="CF197" s="742">
        <v>-300758649.954216</v>
      </c>
      <c r="CG197" s="742">
        <v>-49605172.651728898</v>
      </c>
      <c r="CH197" s="742">
        <v>-232943469.608493</v>
      </c>
      <c r="CI197" s="742">
        <v>-51377218.765474498</v>
      </c>
    </row>
    <row r="198" spans="2:87">
      <c r="B198" s="61"/>
      <c r="BA198" s="742"/>
      <c r="BB198" s="742"/>
      <c r="BC198"/>
      <c r="BD198"/>
      <c r="CD198" s="742">
        <v>27.462488006312299</v>
      </c>
      <c r="CE198" s="742">
        <v>38.421877902650202</v>
      </c>
      <c r="CF198" s="742">
        <v>18.025932294602001</v>
      </c>
      <c r="CG198" s="742">
        <v>18.0338933340702</v>
      </c>
      <c r="CH198" s="742">
        <v>41.001318801595197</v>
      </c>
      <c r="CI198" s="742">
        <v>27.169405267770902</v>
      </c>
    </row>
    <row r="199" spans="2:87">
      <c r="B199" s="61"/>
      <c r="E199" s="44"/>
      <c r="BA199" s="742"/>
      <c r="BB199" s="742"/>
      <c r="BC199"/>
      <c r="BD199"/>
      <c r="CD199" s="744">
        <v>29510.7791099838</v>
      </c>
      <c r="CE199" s="744">
        <v>13653.724034052</v>
      </c>
      <c r="CF199" s="744">
        <v>15857.027250111199</v>
      </c>
      <c r="CG199" s="744">
        <v>2626.2220358561899</v>
      </c>
      <c r="CH199" s="744">
        <v>9372.1372114014994</v>
      </c>
      <c r="CI199" s="744">
        <v>6907.1151827825897</v>
      </c>
    </row>
    <row r="200" spans="2:87">
      <c r="B200" s="61"/>
      <c r="E200" s="44"/>
      <c r="T200" s="44"/>
      <c r="U200" s="44"/>
      <c r="AA200" s="44"/>
      <c r="AB200" s="44"/>
      <c r="AC200" s="44"/>
      <c r="AD200" s="44"/>
      <c r="AE200" s="44"/>
      <c r="AF200" s="44"/>
      <c r="BK200" s="44"/>
      <c r="BL200" s="44"/>
      <c r="CD200" s="742">
        <v>0</v>
      </c>
      <c r="CE200" s="742">
        <v>0</v>
      </c>
      <c r="CF200" s="742">
        <v>0</v>
      </c>
      <c r="CG200" s="742">
        <v>1.13500159504295</v>
      </c>
      <c r="CH200" s="745">
        <v>3.8735968658750197E-5</v>
      </c>
      <c r="CI200" s="742">
        <v>1.1349628590742999</v>
      </c>
    </row>
    <row r="201" spans="2:87">
      <c r="B201" s="61"/>
      <c r="E201" s="44"/>
      <c r="T201" s="44"/>
      <c r="U201" s="44"/>
      <c r="AA201" s="44"/>
      <c r="AB201" s="44"/>
      <c r="AC201" s="44"/>
      <c r="AD201" s="44"/>
      <c r="AE201" s="44"/>
      <c r="AF201" s="44"/>
      <c r="BA201" s="742"/>
      <c r="BB201" s="742"/>
      <c r="BC201"/>
      <c r="BD201"/>
      <c r="BH201" s="44"/>
      <c r="BI201" s="44"/>
      <c r="CD201" s="742">
        <v>0</v>
      </c>
      <c r="CE201" s="742">
        <v>0</v>
      </c>
      <c r="CF201" s="742">
        <v>0</v>
      </c>
      <c r="CG201" s="742">
        <v>0</v>
      </c>
      <c r="CH201" s="742">
        <v>0</v>
      </c>
      <c r="CI201" s="742">
        <v>0</v>
      </c>
    </row>
    <row r="202" spans="2:87">
      <c r="B202" s="61"/>
      <c r="T202" s="44"/>
      <c r="U202" s="44"/>
      <c r="AE202" s="44"/>
      <c r="AF202" s="44"/>
      <c r="BA202" s="742"/>
      <c r="BB202" s="742"/>
      <c r="BC202"/>
      <c r="BD202"/>
      <c r="CD202" s="742">
        <v>0</v>
      </c>
      <c r="CE202" s="742">
        <v>0</v>
      </c>
      <c r="CF202" s="742">
        <v>0</v>
      </c>
      <c r="CG202" s="742">
        <v>0</v>
      </c>
      <c r="CH202" s="742">
        <v>0</v>
      </c>
      <c r="CI202" s="742">
        <v>0</v>
      </c>
    </row>
    <row r="203" spans="2:87">
      <c r="B203" s="61"/>
      <c r="T203" s="44"/>
      <c r="AZ203" s="44"/>
      <c r="BA203" s="742"/>
      <c r="BB203" s="742"/>
      <c r="BC203"/>
      <c r="BD203"/>
      <c r="CD203" s="742">
        <v>0</v>
      </c>
      <c r="CE203" s="742">
        <v>0</v>
      </c>
      <c r="CF203" s="742">
        <v>0</v>
      </c>
      <c r="CG203" s="742">
        <v>0</v>
      </c>
      <c r="CH203" s="742">
        <v>0</v>
      </c>
      <c r="CI203" s="742">
        <v>0</v>
      </c>
    </row>
    <row r="204" spans="2:87">
      <c r="B204" s="61"/>
      <c r="BA204" s="742"/>
      <c r="BB204" s="742"/>
      <c r="BC204"/>
      <c r="BD204"/>
      <c r="CD204" s="742">
        <v>0</v>
      </c>
      <c r="CE204" s="742">
        <v>0</v>
      </c>
      <c r="CF204" s="742">
        <v>0</v>
      </c>
      <c r="CG204" s="742">
        <v>0</v>
      </c>
      <c r="CH204" s="742">
        <v>0</v>
      </c>
      <c r="CI204" s="742">
        <v>0</v>
      </c>
    </row>
    <row r="205" spans="2:87">
      <c r="B205" s="61"/>
      <c r="BA205" s="742"/>
      <c r="BB205" s="742"/>
      <c r="BC205"/>
      <c r="BD205"/>
      <c r="CD205" s="742">
        <v>0</v>
      </c>
      <c r="CE205" s="742">
        <v>0</v>
      </c>
      <c r="CF205" s="742">
        <v>0</v>
      </c>
      <c r="CG205" s="742">
        <v>0</v>
      </c>
      <c r="CH205" s="742">
        <v>0</v>
      </c>
      <c r="CI205" s="742">
        <v>0</v>
      </c>
    </row>
    <row r="206" spans="2:87">
      <c r="B206" s="61"/>
      <c r="F206" s="44"/>
      <c r="G206" s="44"/>
      <c r="AC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Y206" s="44"/>
      <c r="AZ206" s="44"/>
      <c r="BA206" s="745"/>
      <c r="BB206" s="742"/>
      <c r="BC206"/>
      <c r="BD206"/>
      <c r="BQ206" s="44"/>
      <c r="BT206" s="44"/>
      <c r="CD206" s="742">
        <v>0</v>
      </c>
      <c r="CE206" s="742">
        <v>0</v>
      </c>
      <c r="CF206" s="742">
        <v>0</v>
      </c>
      <c r="CG206" s="742">
        <v>0</v>
      </c>
      <c r="CH206" s="742">
        <v>0</v>
      </c>
      <c r="CI206" s="742">
        <v>0</v>
      </c>
    </row>
    <row r="207" spans="2:87">
      <c r="B207" s="61"/>
      <c r="F207" s="44"/>
      <c r="G207" s="44"/>
      <c r="V207" s="44"/>
      <c r="AC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Y207" s="44"/>
      <c r="AZ207" s="44"/>
      <c r="BA207" s="745"/>
      <c r="BB207" s="742"/>
      <c r="BC207"/>
      <c r="BD207"/>
      <c r="BQ207" s="44"/>
      <c r="BT207" s="44"/>
      <c r="CD207" s="742">
        <v>0</v>
      </c>
      <c r="CE207" s="742">
        <v>0</v>
      </c>
      <c r="CF207" s="742">
        <v>0</v>
      </c>
      <c r="CG207" s="742">
        <v>0</v>
      </c>
      <c r="CH207" s="742">
        <v>0</v>
      </c>
      <c r="CI207" s="742">
        <v>0</v>
      </c>
    </row>
    <row r="208" spans="2:87">
      <c r="B208" s="61"/>
      <c r="F208" s="44"/>
      <c r="G208" s="44"/>
      <c r="V208" s="44"/>
      <c r="X208" s="44"/>
      <c r="Y208" s="44"/>
      <c r="Z208" s="44"/>
      <c r="AA208" s="44"/>
      <c r="AB208" s="44"/>
      <c r="AC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Y208" s="44"/>
      <c r="AZ208" s="44"/>
      <c r="BA208" s="742"/>
      <c r="BB208" s="742"/>
      <c r="BC208"/>
      <c r="BD208"/>
      <c r="BK208" s="44"/>
      <c r="BL208" s="44"/>
      <c r="BM208" s="44"/>
      <c r="BN208" s="44"/>
      <c r="BQ208" s="44"/>
      <c r="BT208" s="44"/>
      <c r="CD208" s="742">
        <v>0</v>
      </c>
      <c r="CE208" s="742">
        <v>0</v>
      </c>
      <c r="CF208" s="742">
        <v>0</v>
      </c>
      <c r="CG208" s="742">
        <v>0</v>
      </c>
      <c r="CH208" s="742">
        <v>0</v>
      </c>
      <c r="CI208" s="742">
        <v>0</v>
      </c>
    </row>
    <row r="209" spans="2:87">
      <c r="B209" s="61"/>
      <c r="F209" s="44"/>
      <c r="G209" s="44"/>
      <c r="V209" s="44"/>
      <c r="X209" s="44"/>
      <c r="Y209" s="44"/>
      <c r="Z209" s="44"/>
      <c r="AA209" s="44"/>
      <c r="AB209" s="44"/>
      <c r="AE209" s="44"/>
      <c r="AF209" s="44"/>
      <c r="AG209" s="44"/>
      <c r="AH209" s="44"/>
      <c r="AW209" s="44"/>
      <c r="AY209" s="44"/>
      <c r="AZ209" s="44"/>
      <c r="BA209" s="742"/>
      <c r="BB209" s="742"/>
      <c r="BC209"/>
      <c r="BD209"/>
      <c r="BH209" s="44"/>
      <c r="BI209" s="44"/>
      <c r="BJ209" s="44"/>
      <c r="BK209" s="44"/>
      <c r="BQ209" s="44"/>
      <c r="CD209" s="742">
        <v>0</v>
      </c>
      <c r="CE209" s="742">
        <v>0</v>
      </c>
      <c r="CF209" s="742">
        <v>0</v>
      </c>
      <c r="CG209" s="742">
        <v>0</v>
      </c>
      <c r="CH209" s="742">
        <v>0</v>
      </c>
      <c r="CI209" s="742">
        <v>0</v>
      </c>
    </row>
    <row r="210" spans="2:87">
      <c r="B210" s="61"/>
      <c r="BA210" s="742"/>
      <c r="BB210" s="742"/>
      <c r="BC210"/>
      <c r="BD210"/>
      <c r="CD210" s="742">
        <v>0</v>
      </c>
      <c r="CE210" s="742">
        <v>0</v>
      </c>
      <c r="CF210" s="742">
        <v>0</v>
      </c>
      <c r="CG210" s="742">
        <v>0</v>
      </c>
      <c r="CH210" s="742">
        <v>0</v>
      </c>
      <c r="CI210" s="742">
        <v>0</v>
      </c>
    </row>
    <row r="211" spans="2:87">
      <c r="B211" s="61"/>
      <c r="BA211" s="742"/>
      <c r="BB211" s="742"/>
      <c r="BC211"/>
      <c r="BD211"/>
      <c r="CD211" s="742">
        <v>16282.2747084697</v>
      </c>
      <c r="CE211" s="742">
        <v>431.73459173661797</v>
      </c>
      <c r="CF211" s="742">
        <v>15850.4844653934</v>
      </c>
      <c r="CG211" s="742">
        <v>2625.0870342611502</v>
      </c>
      <c r="CH211" s="742">
        <v>1084.4869452656501</v>
      </c>
      <c r="CI211" s="742">
        <v>1972.33468073213</v>
      </c>
    </row>
    <row r="212" spans="2:87">
      <c r="B212" s="61"/>
      <c r="BA212" s="742"/>
      <c r="BB212" s="742"/>
      <c r="BC212"/>
      <c r="BD212"/>
      <c r="CD212" s="742">
        <v>344.31577477467903</v>
      </c>
      <c r="CE212" s="742">
        <v>344.30658666500199</v>
      </c>
      <c r="CF212" s="742">
        <v>9.18809994569641E-3</v>
      </c>
      <c r="CG212" s="742">
        <v>0</v>
      </c>
      <c r="CH212" s="742">
        <v>4.6344575677316299E-2</v>
      </c>
      <c r="CI212" s="742">
        <v>344.260242089325</v>
      </c>
    </row>
    <row r="213" spans="2:87">
      <c r="B213" s="61"/>
      <c r="BA213" s="742"/>
      <c r="BB213" s="742"/>
      <c r="BC213"/>
      <c r="BD213"/>
      <c r="CD213" s="753">
        <v>9074.6513841689903</v>
      </c>
      <c r="CE213" s="753">
        <v>9068.1975272140608</v>
      </c>
      <c r="CF213" s="753">
        <v>6.4260308781707396</v>
      </c>
      <c r="CG213" s="753">
        <v>0</v>
      </c>
      <c r="CH213" s="753">
        <v>8287.3147527241908</v>
      </c>
      <c r="CI213" s="753">
        <v>780.18909876576402</v>
      </c>
    </row>
    <row r="214" spans="2:87">
      <c r="B214" s="61"/>
      <c r="BA214" s="742"/>
      <c r="BB214" s="742"/>
      <c r="BC214"/>
      <c r="BD214"/>
      <c r="CD214" s="742">
        <v>0</v>
      </c>
      <c r="CE214" s="742">
        <v>0</v>
      </c>
      <c r="CF214" s="742">
        <v>0</v>
      </c>
      <c r="CG214" s="742">
        <v>0</v>
      </c>
      <c r="CH214" s="742">
        <v>0</v>
      </c>
      <c r="CI214" s="742">
        <v>0</v>
      </c>
    </row>
    <row r="215" spans="2:87">
      <c r="B215" s="61"/>
      <c r="BA215" s="742"/>
      <c r="BB215" s="742"/>
      <c r="BC215"/>
      <c r="BD215"/>
      <c r="CD215" s="742">
        <v>3809.5372425703799</v>
      </c>
      <c r="CE215" s="742">
        <v>3809.4853284363098</v>
      </c>
      <c r="CF215" s="742">
        <v>5.1914026379053603E-2</v>
      </c>
      <c r="CG215" s="742">
        <v>0</v>
      </c>
      <c r="CH215" s="742">
        <v>0.28913010001450701</v>
      </c>
      <c r="CI215" s="742">
        <v>3809.1961983362999</v>
      </c>
    </row>
    <row r="216" spans="2:87">
      <c r="B216" s="61"/>
      <c r="BA216" s="742"/>
      <c r="BB216" s="742"/>
      <c r="BC216"/>
      <c r="BD216"/>
      <c r="CD216" s="742"/>
      <c r="CE216" s="742"/>
      <c r="CF216" s="742"/>
      <c r="CG216" s="742"/>
      <c r="CH216" s="742"/>
      <c r="CI216" s="742"/>
    </row>
    <row r="217" spans="2:87">
      <c r="B217" s="61"/>
      <c r="T217" s="44"/>
      <c r="U217" s="44"/>
      <c r="AA217" s="44"/>
      <c r="AB217" s="44"/>
      <c r="AC217" s="44"/>
      <c r="AD217" s="44"/>
      <c r="AE217" s="44"/>
      <c r="AF217" s="44"/>
      <c r="BK217" s="44"/>
      <c r="BL217" s="44"/>
      <c r="CD217" s="742">
        <v>0</v>
      </c>
      <c r="CE217" s="742">
        <v>0</v>
      </c>
      <c r="CF217" s="742">
        <v>0</v>
      </c>
      <c r="CG217" s="742">
        <v>4.32180363863607E-4</v>
      </c>
      <c r="CH217" s="745">
        <v>4.1330987569864698E-9</v>
      </c>
      <c r="CI217" s="742">
        <v>1.64317928547569E-4</v>
      </c>
    </row>
    <row r="218" spans="2:87">
      <c r="B218" s="61"/>
      <c r="T218" s="44"/>
      <c r="U218" s="44"/>
      <c r="AA218" s="44"/>
      <c r="AB218" s="44"/>
      <c r="AC218" s="44"/>
      <c r="AD218" s="44"/>
      <c r="AE218" s="44"/>
      <c r="AF218" s="44"/>
      <c r="BA218" s="742"/>
      <c r="BB218" s="742"/>
      <c r="BC218"/>
      <c r="BD218"/>
      <c r="BH218" s="44"/>
      <c r="BI218" s="44"/>
      <c r="CD218" s="742">
        <v>0</v>
      </c>
      <c r="CE218" s="742">
        <v>0</v>
      </c>
      <c r="CF218" s="742">
        <v>0</v>
      </c>
      <c r="CG218" s="742">
        <v>0</v>
      </c>
      <c r="CH218" s="742">
        <v>0</v>
      </c>
      <c r="CI218" s="742">
        <v>0</v>
      </c>
    </row>
    <row r="219" spans="2:87">
      <c r="B219" s="61"/>
      <c r="F219" s="44"/>
      <c r="G219" s="44"/>
      <c r="T219" s="44"/>
      <c r="U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W219" s="44"/>
      <c r="AY219" s="44"/>
      <c r="AZ219" s="44"/>
      <c r="BA219" s="745"/>
      <c r="BB219" s="742"/>
      <c r="BC219" s="44"/>
      <c r="BD219"/>
      <c r="BT219" s="44"/>
      <c r="CD219" s="742">
        <v>0</v>
      </c>
      <c r="CE219" s="742">
        <v>0</v>
      </c>
      <c r="CF219" s="742">
        <v>0</v>
      </c>
      <c r="CG219" s="742">
        <v>0</v>
      </c>
      <c r="CH219" s="742">
        <v>0</v>
      </c>
      <c r="CI219" s="742">
        <v>0</v>
      </c>
    </row>
    <row r="220" spans="2:87">
      <c r="B220" s="61"/>
      <c r="F220" s="44"/>
      <c r="G220" s="44"/>
      <c r="T220" s="44"/>
      <c r="U220" s="44"/>
      <c r="AC220" s="44"/>
      <c r="AD220" s="44"/>
      <c r="AG220" s="44"/>
      <c r="AH220" s="44"/>
      <c r="AI220" s="44"/>
      <c r="AJ220" s="44"/>
      <c r="AK220" s="44"/>
      <c r="AL220" s="44"/>
      <c r="AM220" s="44"/>
      <c r="AN220" s="44"/>
      <c r="AO220" s="44"/>
      <c r="AW220" s="44"/>
      <c r="AY220" s="44"/>
      <c r="AZ220" s="44"/>
      <c r="BA220" s="745"/>
      <c r="BB220" s="742"/>
      <c r="BC220" s="44"/>
      <c r="BD220"/>
      <c r="BQ220" s="44"/>
      <c r="CD220" s="742">
        <v>0</v>
      </c>
      <c r="CE220" s="742">
        <v>0</v>
      </c>
      <c r="CF220" s="742">
        <v>0</v>
      </c>
      <c r="CG220" s="742">
        <v>0</v>
      </c>
      <c r="CH220" s="742">
        <v>0</v>
      </c>
      <c r="CI220" s="742">
        <v>0</v>
      </c>
    </row>
    <row r="221" spans="2:87">
      <c r="B221" s="61"/>
      <c r="T221" s="44"/>
      <c r="U221" s="44"/>
      <c r="AI221" s="44"/>
      <c r="AJ221" s="44"/>
      <c r="AK221" s="44"/>
      <c r="AL221" s="44"/>
      <c r="AM221" s="44"/>
      <c r="AN221" s="44"/>
      <c r="AO221" s="44"/>
      <c r="BA221" s="742"/>
      <c r="BB221" s="742"/>
      <c r="BC221"/>
      <c r="BD221"/>
      <c r="CD221" s="742">
        <v>0</v>
      </c>
      <c r="CE221" s="742">
        <v>0</v>
      </c>
      <c r="CF221" s="742">
        <v>0</v>
      </c>
      <c r="CG221" s="742">
        <v>0</v>
      </c>
      <c r="CH221" s="742">
        <v>0</v>
      </c>
      <c r="CI221" s="742">
        <v>0</v>
      </c>
    </row>
    <row r="222" spans="2:87">
      <c r="B222" s="61"/>
      <c r="BA222" s="742"/>
      <c r="BB222" s="742"/>
      <c r="BC222"/>
      <c r="BD222"/>
      <c r="CD222" s="742">
        <v>0</v>
      </c>
      <c r="CE222" s="742">
        <v>0</v>
      </c>
      <c r="CF222" s="742">
        <v>0</v>
      </c>
      <c r="CG222" s="742">
        <v>0</v>
      </c>
      <c r="CH222" s="742">
        <v>0</v>
      </c>
      <c r="CI222" s="742">
        <v>0</v>
      </c>
    </row>
    <row r="223" spans="2:87">
      <c r="B223" s="61"/>
      <c r="F223" s="44"/>
      <c r="G223" s="44"/>
      <c r="X223" s="44"/>
      <c r="Y223" s="44"/>
      <c r="AC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Y223" s="44"/>
      <c r="AZ223" s="44"/>
      <c r="BA223" s="745"/>
      <c r="BB223" s="742"/>
      <c r="BC223"/>
      <c r="BD223"/>
      <c r="BQ223" s="44"/>
      <c r="BT223" s="44"/>
      <c r="CD223" s="742">
        <v>0</v>
      </c>
      <c r="CE223" s="742">
        <v>0</v>
      </c>
      <c r="CF223" s="742">
        <v>0</v>
      </c>
      <c r="CG223" s="742">
        <v>0</v>
      </c>
      <c r="CH223" s="742">
        <v>0</v>
      </c>
      <c r="CI223" s="742">
        <v>0</v>
      </c>
    </row>
    <row r="224" spans="2:87">
      <c r="B224" s="61"/>
      <c r="F224" s="44"/>
      <c r="G224" s="44"/>
      <c r="H224" s="44"/>
      <c r="I224" s="44"/>
      <c r="J224" s="44"/>
      <c r="K224" s="44"/>
      <c r="M224" s="44"/>
      <c r="N224" s="44"/>
      <c r="O224" s="44"/>
      <c r="Q224" s="44"/>
      <c r="R224" s="44"/>
      <c r="V224" s="44"/>
      <c r="X224" s="44"/>
      <c r="Y224" s="44"/>
      <c r="Z224" s="44"/>
      <c r="AA224" s="44"/>
      <c r="AB224" s="44"/>
      <c r="AC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Y224" s="44"/>
      <c r="AZ224" s="44"/>
      <c r="BA224" s="745"/>
      <c r="BB224" s="742"/>
      <c r="BC224"/>
      <c r="BD224"/>
      <c r="BK224" s="44"/>
      <c r="BL224" s="44"/>
      <c r="BM224" s="44"/>
      <c r="BN224" s="44"/>
      <c r="BQ224" s="44"/>
      <c r="BR224" s="44"/>
      <c r="BS224" s="44"/>
      <c r="BT224" s="44"/>
      <c r="BU224" s="44"/>
      <c r="CD224" s="742">
        <v>0</v>
      </c>
      <c r="CE224" s="742">
        <v>0</v>
      </c>
      <c r="CF224" s="742">
        <v>0</v>
      </c>
      <c r="CG224" s="742">
        <v>0</v>
      </c>
      <c r="CH224" s="742">
        <v>0</v>
      </c>
      <c r="CI224" s="742">
        <v>0</v>
      </c>
    </row>
    <row r="225" spans="2:87">
      <c r="B225" s="61"/>
      <c r="F225" s="44"/>
      <c r="G225" s="44"/>
      <c r="H225" s="44"/>
      <c r="I225" s="44"/>
      <c r="J225" s="44"/>
      <c r="K225" s="44"/>
      <c r="M225" s="44"/>
      <c r="N225" s="44"/>
      <c r="O225" s="44"/>
      <c r="Q225" s="44"/>
      <c r="R225" s="44"/>
      <c r="V225" s="44"/>
      <c r="X225" s="44"/>
      <c r="Y225" s="44"/>
      <c r="Z225" s="44"/>
      <c r="AA225" s="44"/>
      <c r="AB225" s="44"/>
      <c r="AC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Y225" s="44"/>
      <c r="AZ225" s="44"/>
      <c r="BA225" s="742"/>
      <c r="BB225" s="742"/>
      <c r="BC225"/>
      <c r="BD225"/>
      <c r="BH225" s="44"/>
      <c r="BI225" s="44"/>
      <c r="BJ225" s="44"/>
      <c r="BK225" s="44"/>
      <c r="BL225" s="44"/>
      <c r="BM225" s="44"/>
      <c r="BN225" s="44"/>
      <c r="BO225" s="44"/>
      <c r="BP225" s="44"/>
      <c r="BQ225" s="44"/>
      <c r="BR225" s="44"/>
      <c r="BS225" s="44"/>
      <c r="BT225" s="44"/>
      <c r="BU225" s="44"/>
      <c r="CD225" s="742">
        <v>0</v>
      </c>
      <c r="CE225" s="742">
        <v>0</v>
      </c>
      <c r="CF225" s="742">
        <v>0</v>
      </c>
      <c r="CG225" s="742">
        <v>0</v>
      </c>
      <c r="CH225" s="742">
        <v>0</v>
      </c>
      <c r="CI225" s="742">
        <v>0</v>
      </c>
    </row>
    <row r="226" spans="2:87">
      <c r="B226" s="61"/>
      <c r="F226" s="44"/>
      <c r="G226" s="44"/>
      <c r="M226" s="44"/>
      <c r="N226" s="44"/>
      <c r="O226" s="44"/>
      <c r="Q226" s="44"/>
      <c r="R226" s="44"/>
      <c r="V226" s="44"/>
      <c r="X226" s="44"/>
      <c r="Y226" s="44"/>
      <c r="Z226" s="44"/>
      <c r="AA226" s="44"/>
      <c r="AB226" s="44"/>
      <c r="AE226" s="44"/>
      <c r="AF226" s="44"/>
      <c r="AG226" s="44"/>
      <c r="AH226" s="44"/>
      <c r="AW226" s="44"/>
      <c r="AY226" s="44"/>
      <c r="AZ226" s="44"/>
      <c r="BA226" s="742"/>
      <c r="BB226" s="742"/>
      <c r="BC226"/>
      <c r="BD226"/>
      <c r="BH226" s="44"/>
      <c r="BI226" s="44"/>
      <c r="BJ226" s="44"/>
      <c r="BK226" s="44"/>
      <c r="BQ226" s="44"/>
      <c r="CD226" s="742">
        <v>0</v>
      </c>
      <c r="CE226" s="742">
        <v>0</v>
      </c>
      <c r="CF226" s="742">
        <v>0</v>
      </c>
      <c r="CG226" s="742">
        <v>0</v>
      </c>
      <c r="CH226" s="742">
        <v>0</v>
      </c>
      <c r="CI226" s="742">
        <v>0</v>
      </c>
    </row>
    <row r="227" spans="2:87">
      <c r="B227" s="61"/>
      <c r="BA227" s="742"/>
      <c r="BB227" s="742"/>
      <c r="BC227"/>
      <c r="BD227"/>
      <c r="CD227" s="742">
        <v>0</v>
      </c>
      <c r="CE227" s="742">
        <v>0</v>
      </c>
      <c r="CF227" s="742">
        <v>0</v>
      </c>
      <c r="CG227" s="742">
        <v>0</v>
      </c>
      <c r="CH227" s="742">
        <v>0</v>
      </c>
      <c r="CI227" s="742">
        <v>0</v>
      </c>
    </row>
    <row r="228" spans="2:87">
      <c r="B228" s="61"/>
      <c r="BA228" s="742"/>
      <c r="BB228" s="742"/>
      <c r="BC228"/>
      <c r="BD228"/>
      <c r="CD228" s="742">
        <v>0.551739913330898</v>
      </c>
      <c r="CE228" s="742">
        <v>3.1620281079351303E-2</v>
      </c>
      <c r="CF228" s="742">
        <v>0.99958738894658095</v>
      </c>
      <c r="CG228" s="742">
        <v>0.99956781963613595</v>
      </c>
      <c r="CH228" s="742">
        <v>0.11571394238086199</v>
      </c>
      <c r="CI228" s="742">
        <v>0.28555114958102601</v>
      </c>
    </row>
    <row r="229" spans="2:87">
      <c r="B229" s="61"/>
      <c r="BA229" s="742"/>
      <c r="BB229" s="742"/>
      <c r="BC229"/>
      <c r="BD229"/>
      <c r="CD229" s="742">
        <v>1.16674579648151E-2</v>
      </c>
      <c r="CE229" s="742">
        <v>2.5217045972682001E-2</v>
      </c>
      <c r="CF229" s="745">
        <v>5.7943395068782498E-7</v>
      </c>
      <c r="CG229" s="742">
        <v>0</v>
      </c>
      <c r="CH229" s="745">
        <v>4.94493141019496E-6</v>
      </c>
      <c r="CI229" s="742">
        <v>4.9841392966410103E-2</v>
      </c>
    </row>
    <row r="230" spans="2:87">
      <c r="B230" s="61"/>
      <c r="BA230" s="742"/>
      <c r="BB230" s="742"/>
      <c r="BC230"/>
      <c r="BD230"/>
      <c r="CD230" s="753">
        <v>0.30750294156412</v>
      </c>
      <c r="CE230" s="753">
        <v>0.66415561824731795</v>
      </c>
      <c r="CF230" s="753">
        <v>4.0524814499046102E-4</v>
      </c>
      <c r="CG230" s="753">
        <v>0</v>
      </c>
      <c r="CH230" s="753">
        <v>0.88425025859015505</v>
      </c>
      <c r="CI230" s="753">
        <v>0.11295440688618399</v>
      </c>
    </row>
    <row r="231" spans="2:87" s="43" customFormat="1">
      <c r="B231" s="6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 s="742"/>
      <c r="BB231" s="742"/>
      <c r="BC231"/>
      <c r="BD231"/>
      <c r="BE231" s="44"/>
      <c r="BF231"/>
      <c r="BG231" s="44"/>
      <c r="BH231"/>
      <c r="BI231"/>
      <c r="BJ231"/>
      <c r="BK231"/>
      <c r="BL231"/>
      <c r="BM231"/>
      <c r="BN231"/>
      <c r="BO231"/>
      <c r="BP231"/>
      <c r="BQ231"/>
      <c r="BR231"/>
      <c r="CD231" s="742">
        <v>0</v>
      </c>
      <c r="CE231" s="742">
        <v>0</v>
      </c>
      <c r="CF231" s="742">
        <v>0</v>
      </c>
      <c r="CG231" s="742">
        <v>0</v>
      </c>
      <c r="CH231" s="742">
        <v>0</v>
      </c>
      <c r="CI231" s="742">
        <v>0</v>
      </c>
    </row>
    <row r="232" spans="2:87">
      <c r="B232" s="61"/>
      <c r="BA232" s="742"/>
      <c r="BB232" s="745"/>
      <c r="BC232"/>
      <c r="BD232"/>
      <c r="CD232" s="742">
        <v>0.129089687140167</v>
      </c>
      <c r="CE232" s="742">
        <v>0.27900705470064902</v>
      </c>
      <c r="CF232" s="745">
        <v>3.2738813877418099E-6</v>
      </c>
      <c r="CG232" s="742">
        <v>0</v>
      </c>
      <c r="CH232" s="745">
        <v>3.0849964473713699E-5</v>
      </c>
      <c r="CI232" s="742">
        <v>0.55148873263783205</v>
      </c>
    </row>
    <row r="233" spans="2:87">
      <c r="B233" s="182"/>
      <c r="C233" s="43"/>
      <c r="D233" s="43"/>
      <c r="E233" s="46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43"/>
      <c r="BA233" s="744"/>
      <c r="BB233" s="744"/>
      <c r="BC233"/>
      <c r="BD233"/>
      <c r="BE233" s="43"/>
      <c r="BF233" s="43"/>
      <c r="BG233" s="43"/>
      <c r="BH233" s="43"/>
      <c r="BI233" s="43"/>
      <c r="BJ233" s="43"/>
      <c r="BK233" s="43"/>
      <c r="BL233" s="43"/>
      <c r="BM233" s="43"/>
      <c r="BN233" s="43"/>
      <c r="BO233" s="43"/>
      <c r="BP233" s="43"/>
      <c r="BQ233" s="43"/>
      <c r="BR233" s="43"/>
      <c r="CD233" s="753">
        <v>810439.41736485995</v>
      </c>
      <c r="CE233" s="753">
        <v>524601.71775282605</v>
      </c>
      <c r="CF233" s="753">
        <v>285837.699604163</v>
      </c>
      <c r="CG233" s="753">
        <v>47361.008066215298</v>
      </c>
      <c r="CH233" s="753">
        <v>384269.98565696698</v>
      </c>
      <c r="CI233" s="753">
        <v>187662.21163219301</v>
      </c>
    </row>
    <row r="234" spans="2:87">
      <c r="B234" s="61"/>
      <c r="E234" s="44"/>
      <c r="T234" s="44"/>
      <c r="U234" s="44"/>
      <c r="AA234" s="44"/>
      <c r="AB234" s="44"/>
      <c r="AC234" s="44"/>
      <c r="AD234" s="44"/>
      <c r="AE234" s="44"/>
      <c r="AF234" s="44"/>
      <c r="BK234" s="44"/>
      <c r="BL234" s="44"/>
      <c r="CD234" s="742">
        <v>0</v>
      </c>
      <c r="CE234" s="742">
        <v>0</v>
      </c>
      <c r="CF234" s="742">
        <v>0</v>
      </c>
      <c r="CG234" s="742">
        <v>69.330119631156805</v>
      </c>
      <c r="CH234" s="742">
        <v>2.3661370634798801E-3</v>
      </c>
      <c r="CI234" s="742">
        <v>69.327753494093699</v>
      </c>
    </row>
    <row r="235" spans="2:87">
      <c r="B235" s="61"/>
      <c r="E235" s="44"/>
      <c r="T235" s="44"/>
      <c r="U235" s="44"/>
      <c r="AA235" s="44"/>
      <c r="AB235" s="44"/>
      <c r="AC235" s="44"/>
      <c r="AD235" s="44"/>
      <c r="AE235" s="44"/>
      <c r="AF235" s="44"/>
      <c r="BA235" s="742"/>
      <c r="BB235" s="742"/>
      <c r="BC235"/>
      <c r="BD235"/>
      <c r="BH235" s="44"/>
      <c r="BI235" s="44"/>
      <c r="CD235" s="742">
        <v>0</v>
      </c>
      <c r="CE235" s="742">
        <v>0</v>
      </c>
      <c r="CF235" s="742">
        <v>0</v>
      </c>
      <c r="CG235" s="742">
        <v>0</v>
      </c>
      <c r="CH235" s="742">
        <v>0</v>
      </c>
      <c r="CI235" s="742">
        <v>0</v>
      </c>
    </row>
    <row r="236" spans="2:87">
      <c r="B236" s="61"/>
      <c r="AE236" s="44"/>
      <c r="AF236" s="44"/>
      <c r="BA236" s="742"/>
      <c r="BB236" s="742"/>
      <c r="BC236"/>
      <c r="BD236"/>
      <c r="CD236" s="742">
        <v>0</v>
      </c>
      <c r="CE236" s="742">
        <v>0</v>
      </c>
      <c r="CF236" s="742">
        <v>0</v>
      </c>
      <c r="CG236" s="742">
        <v>0</v>
      </c>
      <c r="CH236" s="742">
        <v>0</v>
      </c>
      <c r="CI236" s="742">
        <v>0</v>
      </c>
    </row>
    <row r="237" spans="2:87">
      <c r="B237" s="61"/>
      <c r="BA237" s="742"/>
      <c r="BB237" s="742"/>
      <c r="BC237"/>
      <c r="BD237"/>
      <c r="CD237" s="742">
        <v>0</v>
      </c>
      <c r="CE237" s="742">
        <v>0</v>
      </c>
      <c r="CF237" s="742">
        <v>0</v>
      </c>
      <c r="CG237" s="742">
        <v>0</v>
      </c>
      <c r="CH237" s="742">
        <v>0</v>
      </c>
      <c r="CI237" s="742">
        <v>0</v>
      </c>
    </row>
    <row r="238" spans="2:87">
      <c r="B238" s="61"/>
      <c r="BA238" s="742"/>
      <c r="BB238" s="742"/>
      <c r="BC238"/>
      <c r="BD238"/>
      <c r="CD238" s="742">
        <v>0</v>
      </c>
      <c r="CE238" s="742">
        <v>0</v>
      </c>
      <c r="CF238" s="742">
        <v>0</v>
      </c>
      <c r="CG238" s="742">
        <v>0</v>
      </c>
      <c r="CH238" s="742">
        <v>0</v>
      </c>
      <c r="CI238" s="742">
        <v>0</v>
      </c>
    </row>
    <row r="239" spans="2:87">
      <c r="B239" s="61"/>
      <c r="BA239" s="742"/>
      <c r="BB239" s="742"/>
      <c r="BC239"/>
      <c r="BD239"/>
      <c r="CD239" s="742">
        <v>0</v>
      </c>
      <c r="CE239" s="742">
        <v>0</v>
      </c>
      <c r="CF239" s="742">
        <v>0</v>
      </c>
      <c r="CG239" s="742">
        <v>0</v>
      </c>
      <c r="CH239" s="742">
        <v>0</v>
      </c>
      <c r="CI239" s="742">
        <v>0</v>
      </c>
    </row>
    <row r="240" spans="2:87">
      <c r="B240" s="61"/>
      <c r="AC240" s="44"/>
      <c r="AI240" s="44"/>
      <c r="AJ240" s="44"/>
      <c r="AK240" s="44"/>
      <c r="AL240" s="44"/>
      <c r="AM240" s="44"/>
      <c r="AN240" s="44"/>
      <c r="AO240" s="44"/>
      <c r="AU240" s="44"/>
      <c r="AW240" s="44"/>
      <c r="AY240" s="44"/>
      <c r="AZ240" s="44"/>
      <c r="BA240" s="745"/>
      <c r="BB240" s="742"/>
      <c r="BC240"/>
      <c r="BD240"/>
      <c r="BQ240" s="44"/>
      <c r="BT240" s="44"/>
      <c r="CD240" s="742">
        <v>0</v>
      </c>
      <c r="CE240" s="742">
        <v>0</v>
      </c>
      <c r="CF240" s="742">
        <v>0</v>
      </c>
      <c r="CG240" s="742">
        <v>0</v>
      </c>
      <c r="CH240" s="742">
        <v>0</v>
      </c>
      <c r="CI240" s="742">
        <v>0</v>
      </c>
    </row>
    <row r="241" spans="2:87">
      <c r="B241" s="61"/>
      <c r="F241" s="44"/>
      <c r="G241" s="44"/>
      <c r="AC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Y241" s="44"/>
      <c r="AZ241" s="44"/>
      <c r="BA241" s="745"/>
      <c r="BB241" s="742"/>
      <c r="BC241"/>
      <c r="BD241"/>
      <c r="BQ241" s="44"/>
      <c r="BT241" s="44"/>
      <c r="CD241" s="742">
        <v>0</v>
      </c>
      <c r="CE241" s="742">
        <v>0</v>
      </c>
      <c r="CF241" s="742">
        <v>0</v>
      </c>
      <c r="CG241" s="742">
        <v>0</v>
      </c>
      <c r="CH241" s="742">
        <v>0</v>
      </c>
      <c r="CI241" s="742">
        <v>0</v>
      </c>
    </row>
    <row r="242" spans="2:87">
      <c r="B242" s="61"/>
      <c r="F242" s="44"/>
      <c r="G242" s="44"/>
      <c r="V242" s="44"/>
      <c r="AC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Y242" s="44"/>
      <c r="AZ242" s="44"/>
      <c r="BA242" s="742"/>
      <c r="BB242" s="742"/>
      <c r="BC242"/>
      <c r="BD242"/>
      <c r="BQ242" s="44"/>
      <c r="BT242" s="44"/>
      <c r="CD242" s="742">
        <v>0</v>
      </c>
      <c r="CE242" s="742">
        <v>0</v>
      </c>
      <c r="CF242" s="742">
        <v>0</v>
      </c>
      <c r="CG242" s="742">
        <v>0</v>
      </c>
      <c r="CH242" s="742">
        <v>0</v>
      </c>
      <c r="CI242" s="742">
        <v>0</v>
      </c>
    </row>
    <row r="243" spans="2:87">
      <c r="B243" s="61"/>
      <c r="F243" s="44"/>
      <c r="G243" s="44"/>
      <c r="V243" s="44"/>
      <c r="AG243" s="44"/>
      <c r="AH243" s="44"/>
      <c r="AW243" s="44"/>
      <c r="AY243" s="44"/>
      <c r="AZ243" s="44"/>
      <c r="BA243" s="742"/>
      <c r="BB243" s="742"/>
      <c r="BC243"/>
      <c r="BD243"/>
      <c r="BQ243" s="44"/>
      <c r="CD243" s="742">
        <v>0</v>
      </c>
      <c r="CE243" s="742">
        <v>0</v>
      </c>
      <c r="CF243" s="742">
        <v>0</v>
      </c>
      <c r="CG243" s="742">
        <v>0</v>
      </c>
      <c r="CH243" s="742">
        <v>0</v>
      </c>
      <c r="CI243" s="742">
        <v>0</v>
      </c>
    </row>
    <row r="244" spans="2:87">
      <c r="B244" s="61"/>
      <c r="BA244" s="742"/>
      <c r="BB244" s="742"/>
      <c r="BC244"/>
      <c r="BD244"/>
      <c r="CD244" s="742">
        <v>0</v>
      </c>
      <c r="CE244" s="742">
        <v>0</v>
      </c>
      <c r="CF244" s="742">
        <v>0</v>
      </c>
      <c r="CG244" s="742">
        <v>0</v>
      </c>
      <c r="CH244" s="742">
        <v>0</v>
      </c>
      <c r="CI244" s="742">
        <v>0</v>
      </c>
    </row>
    <row r="245" spans="2:87">
      <c r="B245" s="61"/>
      <c r="BA245" s="742"/>
      <c r="BB245" s="742"/>
      <c r="BC245"/>
      <c r="BD245"/>
      <c r="CD245" s="742">
        <v>293329.73791000003</v>
      </c>
      <c r="CE245" s="742">
        <v>7777.8195558208399</v>
      </c>
      <c r="CF245" s="742">
        <v>285550.91577971302</v>
      </c>
      <c r="CG245" s="742">
        <v>47291.677946584103</v>
      </c>
      <c r="CH245" s="742">
        <v>19537.335975305399</v>
      </c>
      <c r="CI245" s="742">
        <v>35532.161527099903</v>
      </c>
    </row>
    <row r="246" spans="2:87">
      <c r="B246" s="61"/>
      <c r="BA246" s="742"/>
      <c r="BB246" s="742"/>
      <c r="BC246"/>
      <c r="BD246"/>
      <c r="CD246" s="742">
        <v>11017.691613860001</v>
      </c>
      <c r="CE246" s="742">
        <v>11017.397605376</v>
      </c>
      <c r="CF246" s="742">
        <v>0.29400817254234901</v>
      </c>
      <c r="CG246" s="742">
        <v>0</v>
      </c>
      <c r="CH246" s="742">
        <v>1.48297080818331</v>
      </c>
      <c r="CI246" s="742">
        <v>11015.9146345679</v>
      </c>
    </row>
    <row r="247" spans="2:87">
      <c r="B247" s="61"/>
      <c r="BA247" s="742"/>
      <c r="BB247" s="742"/>
      <c r="BC247"/>
      <c r="BD247"/>
      <c r="CD247" s="753">
        <v>399373.59248699999</v>
      </c>
      <c r="CE247" s="753">
        <v>399089.55953318498</v>
      </c>
      <c r="CF247" s="753">
        <v>282.80833374211898</v>
      </c>
      <c r="CG247" s="753">
        <v>0</v>
      </c>
      <c r="CH247" s="753">
        <v>364723.06480444199</v>
      </c>
      <c r="CI247" s="753">
        <v>34335.966198861599</v>
      </c>
    </row>
    <row r="248" spans="2:87">
      <c r="B248" s="61"/>
      <c r="BA248" s="742"/>
      <c r="BB248" s="742"/>
      <c r="BC248"/>
      <c r="BD248"/>
      <c r="CD248" s="742">
        <v>0</v>
      </c>
      <c r="CE248" s="742">
        <v>0</v>
      </c>
      <c r="CF248" s="742">
        <v>0</v>
      </c>
      <c r="CG248" s="742">
        <v>0</v>
      </c>
      <c r="CH248" s="742">
        <v>0</v>
      </c>
      <c r="CI248" s="742">
        <v>0</v>
      </c>
    </row>
    <row r="249" spans="2:87">
      <c r="B249" s="61"/>
      <c r="BA249" s="742"/>
      <c r="BB249" s="742"/>
      <c r="BC249"/>
      <c r="BD249"/>
      <c r="CD249" s="742">
        <v>106718.39535399999</v>
      </c>
      <c r="CE249" s="742">
        <v>106716.941058444</v>
      </c>
      <c r="CF249" s="742">
        <v>1.45429253968909</v>
      </c>
      <c r="CG249" s="742">
        <v>0</v>
      </c>
      <c r="CH249" s="742">
        <v>8.0995402741543803</v>
      </c>
      <c r="CI249" s="742">
        <v>106708.84151817</v>
      </c>
    </row>
    <row r="250" spans="2:87">
      <c r="B250" s="61"/>
      <c r="BA250" s="742"/>
      <c r="BB250" s="742"/>
      <c r="BC250"/>
      <c r="BD250"/>
      <c r="CD250" s="742"/>
      <c r="CE250" s="742"/>
      <c r="CF250" s="742"/>
      <c r="CG250" s="742"/>
      <c r="CH250" s="742"/>
      <c r="CI250" s="742"/>
    </row>
    <row r="251" spans="2:87">
      <c r="B251" s="61"/>
      <c r="L251" s="44"/>
      <c r="T251" s="44"/>
      <c r="U251" s="44"/>
      <c r="AA251" s="44"/>
      <c r="AB251" s="44"/>
      <c r="AC251" s="44"/>
      <c r="AD251" s="44"/>
      <c r="AE251" s="44"/>
      <c r="AF251" s="44"/>
      <c r="BH251" s="44"/>
      <c r="BK251" s="44"/>
      <c r="BL251" s="44"/>
      <c r="BO251" s="44"/>
      <c r="BQ251" s="44"/>
      <c r="CD251" s="742">
        <v>0</v>
      </c>
      <c r="CE251" s="742">
        <v>0</v>
      </c>
      <c r="CF251" s="742">
        <v>0</v>
      </c>
      <c r="CG251" s="742">
        <v>1.4638649484450699E-3</v>
      </c>
      <c r="CH251" s="745">
        <v>6.1574860171153102E-9</v>
      </c>
      <c r="CI251" s="742">
        <v>3.6942841550845603E-4</v>
      </c>
    </row>
    <row r="252" spans="2:87">
      <c r="B252" s="61"/>
      <c r="L252" s="44"/>
      <c r="T252" s="44"/>
      <c r="U252" s="44"/>
      <c r="AA252" s="44"/>
      <c r="AB252" s="44"/>
      <c r="AC252" s="44"/>
      <c r="AD252" s="44"/>
      <c r="AE252" s="44"/>
      <c r="AF252" s="44"/>
      <c r="BA252" s="742"/>
      <c r="BB252" s="742"/>
      <c r="BC252"/>
      <c r="BD252"/>
      <c r="BE252" s="44"/>
      <c r="BH252" s="44"/>
      <c r="BI252" s="44"/>
      <c r="BL252" s="44"/>
      <c r="BN252" s="44"/>
      <c r="CD252" s="742">
        <v>0</v>
      </c>
      <c r="CE252" s="742">
        <v>0</v>
      </c>
      <c r="CF252" s="742">
        <v>0</v>
      </c>
      <c r="CG252" s="742">
        <v>0</v>
      </c>
      <c r="CH252" s="742">
        <v>0</v>
      </c>
      <c r="CI252" s="742">
        <v>0</v>
      </c>
    </row>
    <row r="253" spans="2:87">
      <c r="B253" s="61"/>
      <c r="L253" s="44"/>
      <c r="T253" s="44"/>
      <c r="U253" s="44"/>
      <c r="AD253" s="44"/>
      <c r="AE253" s="44"/>
      <c r="AF253" s="44"/>
      <c r="AI253" s="44"/>
      <c r="AJ253" s="44"/>
      <c r="AK253" s="44"/>
      <c r="AL253" s="44"/>
      <c r="AM253" s="44"/>
      <c r="AN253" s="44"/>
      <c r="AO253" s="44"/>
      <c r="AW253" s="44"/>
      <c r="AY253" s="44"/>
      <c r="AZ253" s="44"/>
      <c r="BA253" s="745"/>
      <c r="BB253" s="742"/>
      <c r="BC253" s="44"/>
      <c r="BD253"/>
      <c r="BH253" s="44"/>
      <c r="BO253" s="44"/>
      <c r="BP253" s="44"/>
      <c r="BQ253" s="44"/>
      <c r="BT253" s="44"/>
      <c r="CD253" s="742">
        <v>0</v>
      </c>
      <c r="CE253" s="742">
        <v>0</v>
      </c>
      <c r="CF253" s="742">
        <v>0</v>
      </c>
      <c r="CG253" s="742">
        <v>0</v>
      </c>
      <c r="CH253" s="742">
        <v>0</v>
      </c>
      <c r="CI253" s="742">
        <v>0</v>
      </c>
    </row>
    <row r="254" spans="2:87">
      <c r="B254" s="61"/>
      <c r="L254" s="44"/>
      <c r="T254" s="44"/>
      <c r="U254" s="44"/>
      <c r="AC254" s="44"/>
      <c r="AD254" s="44"/>
      <c r="AI254" s="44"/>
      <c r="AJ254" s="44"/>
      <c r="AK254" s="44"/>
      <c r="AL254" s="44"/>
      <c r="AM254" s="44"/>
      <c r="AN254" s="44"/>
      <c r="AO254" s="44"/>
      <c r="AW254" s="44"/>
      <c r="AY254" s="44"/>
      <c r="AZ254" s="44"/>
      <c r="BA254" s="745"/>
      <c r="BB254" s="742"/>
      <c r="BC254"/>
      <c r="BD254"/>
      <c r="BE254" s="44"/>
      <c r="BQ254" s="44"/>
      <c r="CD254" s="742">
        <v>0</v>
      </c>
      <c r="CE254" s="742">
        <v>0</v>
      </c>
      <c r="CF254" s="742">
        <v>0</v>
      </c>
      <c r="CG254" s="742">
        <v>0</v>
      </c>
      <c r="CH254" s="742">
        <v>0</v>
      </c>
      <c r="CI254" s="742">
        <v>0</v>
      </c>
    </row>
    <row r="255" spans="2:87">
      <c r="B255" s="61"/>
      <c r="T255" s="44"/>
      <c r="U255" s="44"/>
      <c r="BA255" s="742"/>
      <c r="BB255" s="742"/>
      <c r="BC255"/>
      <c r="BD255"/>
      <c r="CD255" s="742">
        <v>0</v>
      </c>
      <c r="CE255" s="742">
        <v>0</v>
      </c>
      <c r="CF255" s="742">
        <v>0</v>
      </c>
      <c r="CG255" s="742">
        <v>0</v>
      </c>
      <c r="CH255" s="742">
        <v>0</v>
      </c>
      <c r="CI255" s="742">
        <v>0</v>
      </c>
    </row>
    <row r="256" spans="2:87">
      <c r="B256" s="61"/>
      <c r="BA256" s="742"/>
      <c r="BB256" s="742"/>
      <c r="BC256"/>
      <c r="BD256"/>
      <c r="CD256" s="742">
        <v>0</v>
      </c>
      <c r="CE256" s="742">
        <v>0</v>
      </c>
      <c r="CF256" s="742">
        <v>0</v>
      </c>
      <c r="CG256" s="742">
        <v>0</v>
      </c>
      <c r="CH256" s="742">
        <v>0</v>
      </c>
      <c r="CI256" s="742">
        <v>0</v>
      </c>
    </row>
    <row r="257" spans="1:87">
      <c r="B257" s="61"/>
      <c r="F257" s="44"/>
      <c r="G257" s="44"/>
      <c r="L257" s="44"/>
      <c r="U257" s="44"/>
      <c r="AC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Y257" s="44"/>
      <c r="AZ257" s="44"/>
      <c r="BA257" s="745"/>
      <c r="BB257" s="742"/>
      <c r="BC257"/>
      <c r="BD257"/>
      <c r="BE257" s="44"/>
      <c r="BL257" s="44"/>
      <c r="BN257" s="44"/>
      <c r="BQ257" s="44"/>
      <c r="BT257" s="44"/>
      <c r="CD257" s="742">
        <v>0</v>
      </c>
      <c r="CE257" s="742">
        <v>0</v>
      </c>
      <c r="CF257" s="742">
        <v>0</v>
      </c>
      <c r="CG257" s="742">
        <v>0</v>
      </c>
      <c r="CH257" s="742">
        <v>0</v>
      </c>
      <c r="CI257" s="742">
        <v>0</v>
      </c>
    </row>
    <row r="258" spans="1:87">
      <c r="B258" s="61"/>
      <c r="F258" s="44"/>
      <c r="G258" s="44"/>
      <c r="H258" s="44"/>
      <c r="I258" s="44"/>
      <c r="J258" s="44"/>
      <c r="K258" s="44"/>
      <c r="M258" s="44"/>
      <c r="N258" s="44"/>
      <c r="O258" s="44"/>
      <c r="Q258" s="44"/>
      <c r="R258" s="44"/>
      <c r="V258" s="44"/>
      <c r="X258" s="44"/>
      <c r="Y258" s="44"/>
      <c r="Z258" s="44"/>
      <c r="AA258" s="44"/>
      <c r="AB258" s="44"/>
      <c r="AC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Y258" s="44"/>
      <c r="AZ258" s="44"/>
      <c r="BA258" s="745"/>
      <c r="BB258" s="742"/>
      <c r="BC258"/>
      <c r="BD258"/>
      <c r="BK258" s="44"/>
      <c r="BL258" s="44"/>
      <c r="BM258" s="44"/>
      <c r="BN258" s="44"/>
      <c r="BQ258" s="44"/>
      <c r="BR258" s="44"/>
      <c r="BS258" s="44"/>
      <c r="BT258" s="44"/>
      <c r="BU258" s="44"/>
      <c r="CD258" s="742">
        <v>0</v>
      </c>
      <c r="CE258" s="742">
        <v>0</v>
      </c>
      <c r="CF258" s="742">
        <v>0</v>
      </c>
      <c r="CG258" s="742">
        <v>0</v>
      </c>
      <c r="CH258" s="742">
        <v>0</v>
      </c>
      <c r="CI258" s="742">
        <v>0</v>
      </c>
    </row>
    <row r="259" spans="1:87">
      <c r="B259" s="61"/>
      <c r="F259" s="44"/>
      <c r="G259" s="44"/>
      <c r="V259" s="44"/>
      <c r="X259" s="44"/>
      <c r="Y259" s="44"/>
      <c r="Z259" s="44"/>
      <c r="AA259" s="44"/>
      <c r="AB259" s="44"/>
      <c r="AC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Y259" s="44"/>
      <c r="AZ259" s="44"/>
      <c r="BA259" s="742"/>
      <c r="BB259" s="742"/>
      <c r="BC259"/>
      <c r="BD259"/>
      <c r="BH259" s="44"/>
      <c r="BI259" s="44"/>
      <c r="BJ259" s="44"/>
      <c r="BK259" s="44"/>
      <c r="BL259" s="44"/>
      <c r="BM259" s="44"/>
      <c r="BN259" s="44"/>
      <c r="BQ259" s="44"/>
      <c r="BT259" s="44"/>
      <c r="CD259" s="742">
        <v>0</v>
      </c>
      <c r="CE259" s="742">
        <v>0</v>
      </c>
      <c r="CF259" s="742">
        <v>0</v>
      </c>
      <c r="CG259" s="742">
        <v>0</v>
      </c>
      <c r="CH259" s="742">
        <v>0</v>
      </c>
      <c r="CI259" s="742">
        <v>0</v>
      </c>
    </row>
    <row r="260" spans="1:87">
      <c r="B260" s="61"/>
      <c r="F260" s="44"/>
      <c r="G260" s="44"/>
      <c r="Q260" s="44"/>
      <c r="R260" s="44"/>
      <c r="V260" s="44"/>
      <c r="X260" s="44"/>
      <c r="Y260" s="44"/>
      <c r="Z260" s="44"/>
      <c r="AA260" s="44"/>
      <c r="AB260" s="44"/>
      <c r="AE260" s="44"/>
      <c r="AF260" s="44"/>
      <c r="AG260" s="44"/>
      <c r="AH260" s="44"/>
      <c r="AW260" s="44"/>
      <c r="AY260" s="44"/>
      <c r="AZ260" s="44"/>
      <c r="BA260" s="742"/>
      <c r="BB260" s="742"/>
      <c r="BC260"/>
      <c r="BD260"/>
      <c r="BH260" s="44"/>
      <c r="BI260" s="44"/>
      <c r="BJ260" s="44"/>
      <c r="BK260" s="44"/>
      <c r="BQ260" s="44"/>
      <c r="CD260" s="742">
        <v>0</v>
      </c>
      <c r="CE260" s="742">
        <v>0</v>
      </c>
      <c r="CF260" s="742">
        <v>0</v>
      </c>
      <c r="CG260" s="742">
        <v>0</v>
      </c>
      <c r="CH260" s="742">
        <v>0</v>
      </c>
      <c r="CI260" s="742">
        <v>0</v>
      </c>
    </row>
    <row r="261" spans="1:87">
      <c r="B261" s="61"/>
      <c r="BA261" s="742"/>
      <c r="BB261" s="742"/>
      <c r="BC261"/>
      <c r="BD261"/>
      <c r="CD261" s="742">
        <v>0</v>
      </c>
      <c r="CE261" s="742">
        <v>0</v>
      </c>
      <c r="CF261" s="742">
        <v>0</v>
      </c>
      <c r="CG261" s="742">
        <v>0</v>
      </c>
      <c r="CH261" s="742">
        <v>0</v>
      </c>
      <c r="CI261" s="742">
        <v>0</v>
      </c>
    </row>
    <row r="262" spans="1:87">
      <c r="B262" s="61"/>
      <c r="BA262" s="742"/>
      <c r="BB262" s="742"/>
      <c r="BC262"/>
      <c r="BD262"/>
      <c r="CD262" s="742">
        <v>0.36193913033470199</v>
      </c>
      <c r="CE262" s="742">
        <v>1.48261419904185E-2</v>
      </c>
      <c r="CF262" s="742">
        <v>0.99899668999279201</v>
      </c>
      <c r="CG262" s="742">
        <v>0.99853613505155503</v>
      </c>
      <c r="CH262" s="742">
        <v>5.0842732205335701E-2</v>
      </c>
      <c r="CI262" s="742">
        <v>0.18934105709433299</v>
      </c>
    </row>
    <row r="263" spans="1:87" s="43" customFormat="1">
      <c r="B263" s="61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 s="742"/>
      <c r="BB263" s="742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CD263" s="742">
        <v>1.3594713408294001E-2</v>
      </c>
      <c r="CE263" s="742">
        <v>2.1001451639483699E-2</v>
      </c>
      <c r="CF263" s="745">
        <v>1.02858430833127E-6</v>
      </c>
      <c r="CG263" s="742">
        <v>0</v>
      </c>
      <c r="CH263" s="745">
        <v>3.85918979763135E-6</v>
      </c>
      <c r="CI263" s="742">
        <v>5.8700761004343301E-2</v>
      </c>
    </row>
    <row r="264" spans="1:87">
      <c r="B264" s="61"/>
      <c r="BA264" s="742"/>
      <c r="BB264" s="742"/>
      <c r="BC264"/>
      <c r="BD264"/>
      <c r="CD264" s="753">
        <v>0.49278648586165902</v>
      </c>
      <c r="CE264" s="753">
        <v>0.76074771779764205</v>
      </c>
      <c r="CF264" s="753">
        <v>9.8940179736179204E-4</v>
      </c>
      <c r="CG264" s="753">
        <v>0</v>
      </c>
      <c r="CH264" s="753">
        <v>0.94913232471407705</v>
      </c>
      <c r="CI264" s="753">
        <v>0.18296686317519301</v>
      </c>
    </row>
    <row r="265" spans="1:87">
      <c r="B265" s="61"/>
      <c r="BA265" s="742"/>
      <c r="BB265" s="742"/>
      <c r="BC265"/>
      <c r="BD265"/>
      <c r="BE265" s="44"/>
      <c r="BG265" s="44"/>
      <c r="CD265" s="742">
        <v>0</v>
      </c>
      <c r="CE265" s="742">
        <v>0</v>
      </c>
      <c r="CF265" s="742">
        <v>0</v>
      </c>
      <c r="CG265" s="742">
        <v>0</v>
      </c>
      <c r="CH265" s="742">
        <v>0</v>
      </c>
      <c r="CI265" s="742">
        <v>0</v>
      </c>
    </row>
    <row r="266" spans="1:87">
      <c r="B266" s="61"/>
      <c r="BA266" s="742"/>
      <c r="BB266" s="745"/>
      <c r="BC266"/>
      <c r="BD266"/>
      <c r="CD266" s="742">
        <v>0.13167967039534501</v>
      </c>
      <c r="CE266" s="742">
        <v>0.20342468857245599</v>
      </c>
      <c r="CF266" s="745">
        <v>5.0878262094294901E-6</v>
      </c>
      <c r="CG266" s="742">
        <v>0</v>
      </c>
      <c r="CH266" s="745">
        <v>2.10777333033362E-5</v>
      </c>
      <c r="CI266" s="742">
        <v>0.56862189031062305</v>
      </c>
    </row>
    <row r="267" spans="1:87">
      <c r="B267" s="182"/>
      <c r="C267" s="43"/>
      <c r="D267" s="43"/>
      <c r="E267" s="46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744"/>
      <c r="BB267" s="744"/>
      <c r="BC267"/>
      <c r="BD267"/>
      <c r="BE267" s="43"/>
      <c r="BF267" s="43"/>
      <c r="BG267" s="43"/>
      <c r="BH267" s="43"/>
      <c r="BI267" s="43"/>
      <c r="BJ267" s="43"/>
      <c r="BK267" s="43"/>
      <c r="BL267" s="43"/>
      <c r="BM267" s="43"/>
      <c r="BN267" s="43"/>
      <c r="BO267" s="43"/>
      <c r="BP267" s="43"/>
      <c r="BQ267" s="43"/>
      <c r="BR267" s="43"/>
      <c r="CD267" s="742">
        <v>41375333.0081653</v>
      </c>
      <c r="CE267" s="742">
        <v>5549648.2311514802</v>
      </c>
      <c r="CF267" s="742">
        <v>4779.5856104506302</v>
      </c>
      <c r="CG267" s="742">
        <v>795.465275178772</v>
      </c>
      <c r="CH267" s="742">
        <v>2271978.5153796398</v>
      </c>
      <c r="CI267" s="742">
        <v>3283899.6749835499</v>
      </c>
    </row>
    <row r="268" spans="1:87">
      <c r="BC268"/>
      <c r="BD268"/>
    </row>
    <row r="269" spans="1:87">
      <c r="BC269"/>
      <c r="BD269"/>
    </row>
    <row r="270" spans="1:87">
      <c r="BC270"/>
      <c r="BD270"/>
    </row>
    <row r="271" spans="1:87">
      <c r="A271" s="311" t="s">
        <v>837</v>
      </c>
      <c r="BC271"/>
      <c r="BD271"/>
    </row>
    <row r="272" spans="1:87">
      <c r="BC272"/>
      <c r="BD272"/>
    </row>
    <row r="273" spans="55:56">
      <c r="BC273"/>
      <c r="BD273"/>
    </row>
    <row r="274" spans="55:56">
      <c r="BC274"/>
      <c r="BD274"/>
    </row>
    <row r="275" spans="55:56">
      <c r="BC275"/>
      <c r="BD275"/>
    </row>
    <row r="276" spans="55:56">
      <c r="BC276"/>
      <c r="BD276"/>
    </row>
    <row r="277" spans="55:56">
      <c r="BC277"/>
      <c r="BD277"/>
    </row>
    <row r="278" spans="55:56">
      <c r="BC278"/>
      <c r="BD278"/>
    </row>
    <row r="279" spans="55:56">
      <c r="BC279"/>
      <c r="BD279"/>
    </row>
    <row r="280" spans="55:56">
      <c r="BC280"/>
      <c r="BD280"/>
    </row>
    <row r="281" spans="55:56">
      <c r="BC281"/>
      <c r="BD281"/>
    </row>
    <row r="282" spans="55:56">
      <c r="BC282"/>
      <c r="BD282"/>
    </row>
    <row r="283" spans="55:56">
      <c r="BC283"/>
      <c r="BD283"/>
    </row>
    <row r="284" spans="55:56">
      <c r="BC284"/>
      <c r="BD284"/>
    </row>
    <row r="285" spans="55:56">
      <c r="BC285"/>
      <c r="BD285"/>
    </row>
    <row r="286" spans="55:56">
      <c r="BC286"/>
      <c r="BD286"/>
    </row>
    <row r="287" spans="55:56">
      <c r="BC287"/>
      <c r="BD287"/>
    </row>
    <row r="288" spans="55:56">
      <c r="BC288"/>
      <c r="BD288"/>
    </row>
    <row r="289" spans="55:56">
      <c r="BC289"/>
      <c r="BD289"/>
    </row>
    <row r="290" spans="55:56">
      <c r="BC290"/>
      <c r="BD290"/>
    </row>
    <row r="291" spans="55:56">
      <c r="BC291"/>
      <c r="BD291"/>
    </row>
    <row r="292" spans="55:56">
      <c r="BC292"/>
      <c r="BD292"/>
    </row>
    <row r="293" spans="55:56">
      <c r="BC293"/>
      <c r="BD293"/>
    </row>
    <row r="294" spans="55:56">
      <c r="BC294"/>
      <c r="BD294"/>
    </row>
    <row r="295" spans="55:56">
      <c r="BC295"/>
      <c r="BD295"/>
    </row>
    <row r="296" spans="55:56">
      <c r="BC296"/>
      <c r="BD296"/>
    </row>
    <row r="297" spans="55:56">
      <c r="BC297"/>
      <c r="BD297"/>
    </row>
    <row r="298" spans="55:56">
      <c r="BC298"/>
      <c r="BD298"/>
    </row>
    <row r="299" spans="55:56">
      <c r="BC299"/>
      <c r="BD299"/>
    </row>
    <row r="300" spans="55:56">
      <c r="BC300"/>
      <c r="BD300"/>
    </row>
    <row r="301" spans="55:56">
      <c r="BC301"/>
      <c r="BD301"/>
    </row>
    <row r="302" spans="55:56">
      <c r="BC302"/>
      <c r="BD302"/>
    </row>
    <row r="303" spans="55:56">
      <c r="BC303"/>
      <c r="BD303"/>
    </row>
    <row r="304" spans="55:56">
      <c r="BC304"/>
      <c r="BD304"/>
    </row>
    <row r="305" spans="2:89">
      <c r="BC305"/>
      <c r="BD305"/>
    </row>
    <row r="306" spans="2:89">
      <c r="BC306"/>
      <c r="BD306"/>
    </row>
    <row r="307" spans="2:89" ht="17.25" thickBot="1">
      <c r="BC307"/>
      <c r="BD307"/>
    </row>
    <row r="308" spans="2:89">
      <c r="B308" s="338"/>
      <c r="C308" s="170" t="s">
        <v>76</v>
      </c>
      <c r="D308" s="170">
        <v>1</v>
      </c>
      <c r="E308" s="170">
        <v>2</v>
      </c>
      <c r="F308" s="170">
        <v>3</v>
      </c>
      <c r="G308" s="170">
        <v>4</v>
      </c>
      <c r="H308" s="170">
        <v>5</v>
      </c>
      <c r="I308" s="170">
        <v>6</v>
      </c>
      <c r="J308" s="170">
        <v>7</v>
      </c>
      <c r="K308" s="170">
        <v>8</v>
      </c>
      <c r="L308" s="170">
        <v>9</v>
      </c>
      <c r="M308" s="170">
        <v>10</v>
      </c>
      <c r="N308" s="170">
        <v>11</v>
      </c>
      <c r="O308" s="170">
        <v>12</v>
      </c>
      <c r="P308" s="170">
        <v>13</v>
      </c>
      <c r="Q308" s="170">
        <v>14</v>
      </c>
      <c r="R308" s="170">
        <v>15</v>
      </c>
      <c r="S308" s="170">
        <v>16</v>
      </c>
      <c r="T308" s="170">
        <v>17</v>
      </c>
      <c r="U308" s="170">
        <v>18</v>
      </c>
      <c r="X308" s="170"/>
      <c r="Y308" s="170"/>
      <c r="Z308" s="170"/>
      <c r="AA308" s="170"/>
      <c r="AB308" s="170"/>
      <c r="AC308" s="170"/>
      <c r="AD308" s="170"/>
      <c r="AE308" s="170"/>
      <c r="AF308" s="170"/>
      <c r="AG308" s="170"/>
      <c r="AH308" s="170"/>
      <c r="AI308" s="170"/>
      <c r="AJ308" s="170"/>
      <c r="AK308" s="170"/>
      <c r="AL308" s="792"/>
      <c r="AM308" s="170"/>
      <c r="AN308" s="170"/>
      <c r="AO308" s="170"/>
      <c r="AP308" s="170"/>
      <c r="AQ308" s="170"/>
      <c r="AR308" s="170"/>
      <c r="AS308" s="170"/>
      <c r="AT308" s="170"/>
      <c r="AU308" s="170"/>
      <c r="AV308" s="170"/>
      <c r="AW308" s="170"/>
      <c r="AX308" s="170"/>
      <c r="AY308" s="170"/>
      <c r="AZ308" s="170"/>
      <c r="BA308" s="170"/>
      <c r="BB308" s="170"/>
      <c r="BC308" s="170"/>
      <c r="BD308" s="170"/>
      <c r="BE308" s="743"/>
      <c r="BF308" s="743"/>
      <c r="BG308" s="170"/>
      <c r="BH308" s="170"/>
      <c r="BI308" s="170"/>
      <c r="BJ308" s="170"/>
      <c r="BK308" s="170"/>
      <c r="BL308" s="170"/>
      <c r="BM308" s="170"/>
      <c r="BN308" s="170"/>
      <c r="BO308" s="170"/>
      <c r="BP308" s="170"/>
      <c r="BQ308" s="170"/>
      <c r="BR308" s="170"/>
      <c r="BS308" s="170"/>
      <c r="BT308" s="170"/>
      <c r="CA308" s="339"/>
      <c r="CF308" s="743">
        <v>49</v>
      </c>
      <c r="CG308" s="743">
        <v>50</v>
      </c>
      <c r="CH308" s="743" t="s">
        <v>1074</v>
      </c>
      <c r="CI308" s="743">
        <v>52</v>
      </c>
      <c r="CJ308" s="743" t="s">
        <v>1075</v>
      </c>
      <c r="CK308" s="743">
        <v>54</v>
      </c>
    </row>
    <row r="309" spans="2:89">
      <c r="B309" s="61" t="s">
        <v>90</v>
      </c>
      <c r="C309" t="s">
        <v>91</v>
      </c>
      <c r="D309" s="897">
        <v>30</v>
      </c>
      <c r="E309" s="897">
        <v>723.16522109434504</v>
      </c>
      <c r="F309" s="897">
        <v>30</v>
      </c>
      <c r="G309" s="897">
        <v>30</v>
      </c>
      <c r="H309" s="897">
        <v>35</v>
      </c>
      <c r="I309" s="897">
        <v>12</v>
      </c>
      <c r="J309" s="897">
        <v>-60</v>
      </c>
      <c r="K309" s="897">
        <v>-113.191379389088</v>
      </c>
      <c r="L309" s="897">
        <v>-140</v>
      </c>
      <c r="M309" s="897">
        <v>-140</v>
      </c>
      <c r="N309" s="897">
        <v>-121.596902863118</v>
      </c>
      <c r="O309" s="897">
        <v>35</v>
      </c>
      <c r="P309" s="897">
        <v>250.41213710027199</v>
      </c>
      <c r="Q309" s="897">
        <v>-84.275990467604998</v>
      </c>
      <c r="R309" s="897">
        <v>-104.05372189180299</v>
      </c>
      <c r="S309" s="897">
        <v>30</v>
      </c>
      <c r="T309" s="897">
        <v>75.873981266669006</v>
      </c>
      <c r="U309" s="897">
        <v>454.88484134349801</v>
      </c>
      <c r="BC309"/>
      <c r="BD309"/>
      <c r="BE309" s="742"/>
      <c r="BF309" s="742"/>
      <c r="CA309" s="62"/>
      <c r="CF309" s="742"/>
      <c r="CG309" s="742"/>
      <c r="CH309" s="742"/>
      <c r="CI309" s="742"/>
      <c r="CJ309" s="742"/>
      <c r="CK309" s="742"/>
    </row>
    <row r="310" spans="2:89">
      <c r="B310" s="61" t="s">
        <v>92</v>
      </c>
      <c r="C310" t="s">
        <v>93</v>
      </c>
      <c r="D310" s="897">
        <v>1.0129999999999999</v>
      </c>
      <c r="E310" s="897">
        <v>1.0129999999999999</v>
      </c>
      <c r="F310" s="897">
        <v>1.0129999999999999</v>
      </c>
      <c r="G310" s="897">
        <v>1.0129999999999999</v>
      </c>
      <c r="H310" s="897">
        <v>6.0000003180819697</v>
      </c>
      <c r="I310" s="897">
        <v>30</v>
      </c>
      <c r="J310" s="897">
        <v>30</v>
      </c>
      <c r="K310" s="897">
        <v>30</v>
      </c>
      <c r="L310" s="897">
        <v>30</v>
      </c>
      <c r="M310" s="897">
        <v>30</v>
      </c>
      <c r="N310" s="897">
        <v>10</v>
      </c>
      <c r="O310" s="897">
        <v>6.0000003180819697</v>
      </c>
      <c r="P310" s="897">
        <v>30</v>
      </c>
      <c r="Q310" s="897">
        <v>1.0129999999999999</v>
      </c>
      <c r="R310" s="897">
        <v>1.0129999999999999</v>
      </c>
      <c r="S310" s="897">
        <v>30</v>
      </c>
      <c r="T310" s="897">
        <v>1</v>
      </c>
      <c r="U310" s="897">
        <v>100</v>
      </c>
      <c r="BC310"/>
      <c r="BD310"/>
      <c r="BE310" s="742"/>
      <c r="BF310" s="742"/>
      <c r="CA310" s="62"/>
      <c r="CF310" s="742" t="s">
        <v>566</v>
      </c>
      <c r="CG310" s="742" t="s">
        <v>568</v>
      </c>
      <c r="CH310" s="742" t="s">
        <v>568</v>
      </c>
      <c r="CI310" s="742"/>
      <c r="CJ310" s="742" t="s">
        <v>1076</v>
      </c>
      <c r="CK310" s="742" t="s">
        <v>1077</v>
      </c>
    </row>
    <row r="311" spans="2:89">
      <c r="B311" t="s">
        <v>118</v>
      </c>
      <c r="C311" t="s">
        <v>119</v>
      </c>
      <c r="D311" s="932">
        <v>211552.667568</v>
      </c>
      <c r="E311" s="932">
        <v>855273.56882126699</v>
      </c>
      <c r="F311" s="932">
        <v>105775.692113489</v>
      </c>
      <c r="G311" s="932">
        <v>430420.811201028</v>
      </c>
      <c r="H311" s="932">
        <v>842994.22919100395</v>
      </c>
      <c r="I311" s="932">
        <v>840421.71054531599</v>
      </c>
      <c r="J311" s="932">
        <v>27050.928644174001</v>
      </c>
      <c r="K311" s="932">
        <v>814572.306236548</v>
      </c>
      <c r="L311" s="932">
        <v>288397.16623827099</v>
      </c>
      <c r="M311" s="932">
        <v>526175.139998239</v>
      </c>
      <c r="N311" s="932">
        <v>151835.53254537901</v>
      </c>
      <c r="O311" s="932">
        <v>4278.3967193696999</v>
      </c>
      <c r="P311" s="932">
        <v>24132.565650638</v>
      </c>
      <c r="Q311" s="932">
        <v>11237.857490140001</v>
      </c>
      <c r="R311" s="932">
        <v>125323.77620264</v>
      </c>
      <c r="S311" s="932">
        <v>32334.183000735102</v>
      </c>
      <c r="T311" s="932">
        <v>277570.00032602297</v>
      </c>
      <c r="U311" s="932">
        <v>394380.11081219401</v>
      </c>
      <c r="BC311"/>
      <c r="BD311"/>
      <c r="BE311" s="742"/>
      <c r="BF311" s="742"/>
      <c r="CA311" s="62"/>
      <c r="CF311" s="742" t="s">
        <v>928</v>
      </c>
      <c r="CG311" s="742" t="s">
        <v>1077</v>
      </c>
      <c r="CH311" s="742"/>
      <c r="CI311" s="742" t="s">
        <v>1072</v>
      </c>
      <c r="CJ311" s="742"/>
      <c r="CK311" s="742"/>
    </row>
    <row r="312" spans="2:89">
      <c r="B312" s="43" t="s">
        <v>115</v>
      </c>
      <c r="C312" t="s">
        <v>1259</v>
      </c>
      <c r="D312" s="933">
        <v>13186.8</v>
      </c>
      <c r="E312" s="933">
        <v>102061</v>
      </c>
      <c r="F312" s="933">
        <v>6593.36000248645</v>
      </c>
      <c r="G312" s="933">
        <v>13451.254405072301</v>
      </c>
      <c r="H312" s="933">
        <v>143258.48580968799</v>
      </c>
      <c r="I312" s="933">
        <v>143239.783567354</v>
      </c>
      <c r="J312" s="933">
        <v>383.27095097812003</v>
      </c>
      <c r="K312" s="933">
        <v>142913.47901105901</v>
      </c>
      <c r="L312" s="933">
        <v>14443.812903845999</v>
      </c>
      <c r="M312" s="933">
        <v>128469.66610721299</v>
      </c>
      <c r="N312" s="933">
        <v>9671.2395540963007</v>
      </c>
      <c r="O312" s="933">
        <v>34.419787622356999</v>
      </c>
      <c r="P312" s="933">
        <v>307.85897036247701</v>
      </c>
      <c r="Q312" s="933">
        <v>305.55618547857398</v>
      </c>
      <c r="R312" s="933">
        <v>4467.0171642711402</v>
      </c>
      <c r="S312" s="933">
        <v>14996.606159621801</v>
      </c>
      <c r="T312" s="933">
        <v>10725.396107492399</v>
      </c>
      <c r="U312" s="933">
        <v>9124.1624042016792</v>
      </c>
      <c r="BC312"/>
      <c r="BD312"/>
      <c r="BE312" s="742"/>
      <c r="BF312" s="742"/>
      <c r="CA312" s="62"/>
      <c r="CF312" s="742" t="s">
        <v>83</v>
      </c>
      <c r="CG312" s="742" t="s">
        <v>83</v>
      </c>
      <c r="CH312" s="742" t="s">
        <v>83</v>
      </c>
      <c r="CI312" s="742" t="s">
        <v>83</v>
      </c>
      <c r="CJ312" s="742" t="s">
        <v>83</v>
      </c>
      <c r="CK312" s="742" t="s">
        <v>83</v>
      </c>
    </row>
    <row r="313" spans="2:89">
      <c r="B313" t="s">
        <v>132</v>
      </c>
      <c r="C313" t="s">
        <v>1259</v>
      </c>
      <c r="D313" s="932">
        <v>0</v>
      </c>
      <c r="E313" s="932">
        <v>56074.852059716897</v>
      </c>
      <c r="F313" s="932">
        <v>0</v>
      </c>
      <c r="G313" s="932">
        <v>0</v>
      </c>
      <c r="H313" s="932">
        <v>109953.567921347</v>
      </c>
      <c r="I313" s="932">
        <v>109951.26903272</v>
      </c>
      <c r="J313" s="932">
        <v>2.4879666442171202</v>
      </c>
      <c r="K313" s="932">
        <v>109951.111502835</v>
      </c>
      <c r="L313" s="932">
        <v>319.36439923312901</v>
      </c>
      <c r="M313" s="932">
        <v>109631.74710360399</v>
      </c>
      <c r="N313" s="932">
        <v>319.364399233298</v>
      </c>
      <c r="O313" s="932">
        <v>5.7354544887157098E-2</v>
      </c>
      <c r="P313" s="932">
        <v>2.29351412384212E-9</v>
      </c>
      <c r="Q313" s="932">
        <v>3.6431028532333099E-153</v>
      </c>
      <c r="R313" s="932">
        <v>6.8344224490692201E-11</v>
      </c>
      <c r="S313" s="932">
        <v>14846.692238944001</v>
      </c>
      <c r="T313" s="932">
        <v>0</v>
      </c>
      <c r="U313" s="932">
        <v>0</v>
      </c>
      <c r="BC313"/>
      <c r="BD313"/>
      <c r="BE313" s="742"/>
      <c r="BF313" s="742"/>
      <c r="CA313" s="62"/>
      <c r="CF313" s="742"/>
      <c r="CG313" s="742"/>
      <c r="CH313" s="742"/>
      <c r="CI313" s="742"/>
      <c r="CJ313" s="742"/>
      <c r="CK313" s="742"/>
    </row>
    <row r="314" spans="2:89">
      <c r="B314" t="s">
        <v>131</v>
      </c>
      <c r="C314" t="s">
        <v>1259</v>
      </c>
      <c r="D314" s="932">
        <v>13186.8</v>
      </c>
      <c r="E314" s="932">
        <v>45877.519295295999</v>
      </c>
      <c r="F314" s="932">
        <v>6593.36000248645</v>
      </c>
      <c r="G314" s="932">
        <v>0</v>
      </c>
      <c r="H314" s="932">
        <v>27847.852448492798</v>
      </c>
      <c r="I314" s="932">
        <v>27847.760310379599</v>
      </c>
      <c r="J314" s="932">
        <v>12.8265014433529</v>
      </c>
      <c r="K314" s="932">
        <v>27847.4798125255</v>
      </c>
      <c r="L314" s="932">
        <v>9255.2585055514101</v>
      </c>
      <c r="M314" s="932">
        <v>18592.2213069729</v>
      </c>
      <c r="N314" s="932">
        <v>9255.1627590356602</v>
      </c>
      <c r="O314" s="932">
        <v>9.4494323310011993E-2</v>
      </c>
      <c r="P314" s="932">
        <v>3.1932274871680199E-7</v>
      </c>
      <c r="Q314" s="932">
        <v>4.7571233037555601E-66</v>
      </c>
      <c r="R314" s="932">
        <v>9.5746522608656695E-2</v>
      </c>
      <c r="S314" s="932">
        <v>149.91392067778301</v>
      </c>
      <c r="T314" s="932">
        <v>0</v>
      </c>
      <c r="U314" s="932">
        <v>0</v>
      </c>
      <c r="BC314"/>
      <c r="BD314"/>
      <c r="BE314" s="742"/>
      <c r="BF314" s="742"/>
      <c r="CA314" s="62"/>
      <c r="CF314" s="742"/>
      <c r="CG314" s="742"/>
      <c r="CH314" s="742"/>
      <c r="CI314" s="742"/>
      <c r="CJ314" s="742"/>
      <c r="CK314" s="742"/>
    </row>
    <row r="315" spans="2:89">
      <c r="B315" t="s">
        <v>133</v>
      </c>
      <c r="C315" t="s">
        <v>1259</v>
      </c>
      <c r="D315" s="932">
        <v>0</v>
      </c>
      <c r="E315" s="932">
        <v>1.46986995537237</v>
      </c>
      <c r="F315" s="932">
        <v>0</v>
      </c>
      <c r="G315" s="932">
        <v>0</v>
      </c>
      <c r="H315" s="932">
        <v>228.770392682579</v>
      </c>
      <c r="I315" s="932">
        <v>228.78055046633301</v>
      </c>
      <c r="J315" s="932">
        <v>1.91206391798288</v>
      </c>
      <c r="K315" s="932">
        <v>228.76293851367799</v>
      </c>
      <c r="L315" s="932">
        <v>225.113271448087</v>
      </c>
      <c r="M315" s="932">
        <v>3.64966706555423</v>
      </c>
      <c r="N315" s="932">
        <v>0.114587444376539</v>
      </c>
      <c r="O315" s="932">
        <v>5.38538867927656E-3</v>
      </c>
      <c r="P315" s="932">
        <v>1.0577743799026299E-5</v>
      </c>
      <c r="Q315" s="932">
        <v>220.881984703645</v>
      </c>
      <c r="R315" s="932">
        <v>4.1166992980879904</v>
      </c>
      <c r="S315" s="932">
        <v>0</v>
      </c>
      <c r="T315" s="932">
        <v>0</v>
      </c>
      <c r="U315" s="932">
        <v>0</v>
      </c>
      <c r="BC315"/>
      <c r="BD315"/>
      <c r="BE315" s="742"/>
      <c r="BF315" s="742"/>
      <c r="CA315" s="62"/>
      <c r="CF315" s="742"/>
      <c r="CG315" s="742"/>
      <c r="CH315" s="742"/>
      <c r="CI315" s="742"/>
      <c r="CJ315" s="742"/>
      <c r="CK315" s="742"/>
    </row>
    <row r="316" spans="2:89">
      <c r="B316" t="s">
        <v>134</v>
      </c>
      <c r="C316" t="s">
        <v>1259</v>
      </c>
      <c r="D316" s="932">
        <v>0</v>
      </c>
      <c r="E316" s="932">
        <v>107.331524526433</v>
      </c>
      <c r="F316" s="932">
        <v>0</v>
      </c>
      <c r="G316" s="932">
        <v>0</v>
      </c>
      <c r="H316" s="932">
        <v>4810.5123230683803</v>
      </c>
      <c r="I316" s="932">
        <v>4810.6392773167499</v>
      </c>
      <c r="J316" s="932">
        <v>22.735405085718899</v>
      </c>
      <c r="K316" s="932">
        <v>4810.3923452337403</v>
      </c>
      <c r="L316" s="932">
        <v>4568.3460208735596</v>
      </c>
      <c r="M316" s="932">
        <v>242.04632435943299</v>
      </c>
      <c r="N316" s="932">
        <v>96.597808382870497</v>
      </c>
      <c r="O316" s="932">
        <v>7.5817867008925399E-2</v>
      </c>
      <c r="P316" s="932">
        <v>3.5450931434870301E-5</v>
      </c>
      <c r="Q316" s="932">
        <v>8.9434940358758901</v>
      </c>
      <c r="R316" s="932">
        <v>4462.8047184503803</v>
      </c>
      <c r="S316" s="932">
        <v>0</v>
      </c>
      <c r="T316" s="932">
        <v>0</v>
      </c>
      <c r="U316" s="932">
        <v>0</v>
      </c>
      <c r="BC316"/>
      <c r="BD316"/>
      <c r="BE316" s="742"/>
      <c r="BF316" s="742"/>
      <c r="CA316" s="62"/>
      <c r="CF316" s="742" t="s">
        <v>89</v>
      </c>
      <c r="CG316" s="742" t="s">
        <v>89</v>
      </c>
      <c r="CH316" s="742" t="s">
        <v>123</v>
      </c>
      <c r="CI316" s="742" t="s">
        <v>123</v>
      </c>
      <c r="CJ316" s="742" t="s">
        <v>89</v>
      </c>
      <c r="CK316" s="742" t="s">
        <v>89</v>
      </c>
    </row>
    <row r="317" spans="2:89">
      <c r="B317" t="s">
        <v>135</v>
      </c>
      <c r="C317" t="s">
        <v>1259</v>
      </c>
      <c r="D317" s="932">
        <v>0</v>
      </c>
      <c r="E317" s="932">
        <v>0.144209565855212</v>
      </c>
      <c r="F317" s="932">
        <v>0</v>
      </c>
      <c r="G317" s="932">
        <v>0</v>
      </c>
      <c r="H317" s="932">
        <v>0</v>
      </c>
      <c r="I317" s="932">
        <v>0</v>
      </c>
      <c r="J317" s="932">
        <v>0</v>
      </c>
      <c r="K317" s="932">
        <v>0</v>
      </c>
      <c r="L317" s="932">
        <v>0</v>
      </c>
      <c r="M317" s="932">
        <v>0</v>
      </c>
      <c r="N317" s="932">
        <v>0</v>
      </c>
      <c r="O317" s="932">
        <v>0</v>
      </c>
      <c r="P317" s="932">
        <v>0</v>
      </c>
      <c r="Q317" s="932">
        <v>0</v>
      </c>
      <c r="R317" s="932">
        <v>0</v>
      </c>
      <c r="S317" s="932">
        <v>0</v>
      </c>
      <c r="T317" s="932">
        <v>0</v>
      </c>
      <c r="U317" s="932">
        <v>0</v>
      </c>
      <c r="BC317"/>
      <c r="BD317"/>
      <c r="BE317" s="742"/>
      <c r="BF317" s="742"/>
      <c r="CA317" s="62"/>
      <c r="CF317" s="742">
        <v>821.34238810996999</v>
      </c>
      <c r="CG317" s="742">
        <v>25</v>
      </c>
      <c r="CH317" s="742">
        <v>25</v>
      </c>
      <c r="CI317" s="742">
        <v>40</v>
      </c>
      <c r="CJ317" s="742">
        <v>61.215835620233001</v>
      </c>
      <c r="CK317" s="742">
        <v>70.163666491886005</v>
      </c>
    </row>
    <row r="318" spans="2:89">
      <c r="B318" t="s">
        <v>165</v>
      </c>
      <c r="C318" t="s">
        <v>1259</v>
      </c>
      <c r="D318" s="932">
        <v>0</v>
      </c>
      <c r="E318" s="932">
        <v>0</v>
      </c>
      <c r="F318" s="932">
        <v>0</v>
      </c>
      <c r="G318" s="932">
        <v>0</v>
      </c>
      <c r="H318" s="932">
        <v>0</v>
      </c>
      <c r="I318" s="932">
        <v>0</v>
      </c>
      <c r="J318" s="932">
        <v>0</v>
      </c>
      <c r="K318" s="932">
        <v>0</v>
      </c>
      <c r="L318" s="932">
        <v>0</v>
      </c>
      <c r="M318" s="932">
        <v>0</v>
      </c>
      <c r="N318" s="932">
        <v>0</v>
      </c>
      <c r="O318" s="932">
        <v>0</v>
      </c>
      <c r="P318" s="932">
        <v>0</v>
      </c>
      <c r="Q318" s="932">
        <v>0</v>
      </c>
      <c r="R318" s="932">
        <v>0</v>
      </c>
      <c r="S318" s="932">
        <v>0</v>
      </c>
      <c r="T318" s="932">
        <v>0</v>
      </c>
      <c r="U318" s="932">
        <v>0</v>
      </c>
      <c r="BC318"/>
      <c r="BD318"/>
      <c r="BE318" s="742"/>
      <c r="BF318" s="742"/>
      <c r="CA318" s="62"/>
      <c r="CF318" s="742">
        <v>1.0129999999999999</v>
      </c>
      <c r="CG318" s="742">
        <v>1.0129999999999999</v>
      </c>
      <c r="CH318" s="742">
        <v>1.0129999999999999</v>
      </c>
      <c r="CI318" s="742">
        <v>1.01</v>
      </c>
      <c r="CJ318" s="742">
        <v>1.9</v>
      </c>
      <c r="CK318" s="742">
        <v>1</v>
      </c>
    </row>
    <row r="319" spans="2:89">
      <c r="B319" t="s">
        <v>136</v>
      </c>
      <c r="C319" t="s">
        <v>1259</v>
      </c>
      <c r="D319" s="932">
        <v>0</v>
      </c>
      <c r="E319" s="932">
        <v>4.5020098138587402E-7</v>
      </c>
      <c r="F319" s="932">
        <v>0</v>
      </c>
      <c r="G319" s="932">
        <v>0</v>
      </c>
      <c r="H319" s="932">
        <v>307.521952586319</v>
      </c>
      <c r="I319" s="932">
        <v>316.32837304022001</v>
      </c>
      <c r="J319" s="932">
        <v>302.196922776946</v>
      </c>
      <c r="K319" s="932">
        <v>4.3403306163538504</v>
      </c>
      <c r="L319" s="932">
        <v>4.3403301638898597</v>
      </c>
      <c r="M319" s="932">
        <v>4.52463297884449E-7</v>
      </c>
      <c r="N319" s="932">
        <v>4.4159419292393398E-19</v>
      </c>
      <c r="O319" s="932">
        <v>2.0359915600048502</v>
      </c>
      <c r="P319" s="932">
        <v>301.14241900842899</v>
      </c>
      <c r="Q319" s="932">
        <v>4.3403301638510898</v>
      </c>
      <c r="R319" s="932">
        <v>4.8148477735565501E-154</v>
      </c>
      <c r="S319" s="932">
        <v>0</v>
      </c>
      <c r="T319" s="932">
        <v>0</v>
      </c>
      <c r="U319" s="932">
        <v>0</v>
      </c>
      <c r="BC319"/>
      <c r="BD319"/>
      <c r="BE319" s="742"/>
      <c r="BF319" s="742"/>
      <c r="CA319" s="62"/>
      <c r="CF319" s="742">
        <v>1</v>
      </c>
      <c r="CG319" s="742">
        <v>1</v>
      </c>
      <c r="CH319" s="742">
        <v>0</v>
      </c>
      <c r="CI319" s="742">
        <v>0</v>
      </c>
      <c r="CJ319" s="742">
        <v>1</v>
      </c>
      <c r="CK319" s="742">
        <v>1</v>
      </c>
    </row>
    <row r="320" spans="2:89">
      <c r="B320" t="s">
        <v>797</v>
      </c>
      <c r="C320" t="s">
        <v>1259</v>
      </c>
      <c r="D320" s="932">
        <v>0</v>
      </c>
      <c r="E320" s="932">
        <v>2.27161413361534E-10</v>
      </c>
      <c r="F320" s="932">
        <v>0</v>
      </c>
      <c r="G320" s="932">
        <v>0</v>
      </c>
      <c r="H320" s="932">
        <v>5.6135354612117698</v>
      </c>
      <c r="I320" s="932">
        <v>6.0835229639782797</v>
      </c>
      <c r="J320" s="932">
        <v>5.4829274484286996</v>
      </c>
      <c r="K320" s="932">
        <v>1.5014773004819199E-2</v>
      </c>
      <c r="L320" s="932">
        <v>1.50147727765137E-2</v>
      </c>
      <c r="M320" s="932">
        <v>2.28302928006557E-10</v>
      </c>
      <c r="N320" s="932">
        <v>1.07482375552495E-25</v>
      </c>
      <c r="O320" s="932">
        <v>0.116792921887969</v>
      </c>
      <c r="P320" s="932">
        <v>5.4816637253630498</v>
      </c>
      <c r="Q320" s="932">
        <v>1.5014772776379699E-2</v>
      </c>
      <c r="R320" s="932">
        <v>2.5427241966799498E-214</v>
      </c>
      <c r="S320" s="932">
        <v>0</v>
      </c>
      <c r="T320" s="932">
        <v>0</v>
      </c>
      <c r="U320" s="932">
        <v>0</v>
      </c>
      <c r="BC320"/>
      <c r="BD320"/>
      <c r="BE320" s="742"/>
      <c r="BF320" s="742"/>
      <c r="CA320" s="62"/>
      <c r="CF320" s="742">
        <v>0</v>
      </c>
      <c r="CG320" s="742">
        <v>0</v>
      </c>
      <c r="CH320" s="742">
        <v>1</v>
      </c>
      <c r="CI320" s="742">
        <v>1</v>
      </c>
      <c r="CJ320" s="742">
        <v>0</v>
      </c>
      <c r="CK320" s="742">
        <v>0</v>
      </c>
    </row>
    <row r="321" spans="2:89">
      <c r="B321" t="s">
        <v>137</v>
      </c>
      <c r="C321" t="s">
        <v>1259</v>
      </c>
      <c r="D321" s="932">
        <v>0</v>
      </c>
      <c r="E321" s="932">
        <v>1.0118276376739901E-44</v>
      </c>
      <c r="F321" s="932">
        <v>0</v>
      </c>
      <c r="G321" s="932">
        <v>0</v>
      </c>
      <c r="H321" s="932">
        <v>32.501120384598202</v>
      </c>
      <c r="I321" s="932">
        <v>6.7174147387010104</v>
      </c>
      <c r="J321" s="932">
        <v>0.483815008262728</v>
      </c>
      <c r="K321" s="932">
        <v>1.32744507274916E-6</v>
      </c>
      <c r="L321" s="932">
        <v>1.3274450727489E-6</v>
      </c>
      <c r="M321" s="932">
        <v>5.1410224460979098E-20</v>
      </c>
      <c r="N321" s="932">
        <v>1.01691219866733E-44</v>
      </c>
      <c r="O321" s="932">
        <v>32.016909737433103</v>
      </c>
      <c r="P321" s="932">
        <v>0.48381480742392602</v>
      </c>
      <c r="Q321" s="932">
        <v>1.32744507273704E-6</v>
      </c>
      <c r="R321" s="932">
        <v>0</v>
      </c>
      <c r="S321" s="932">
        <v>0</v>
      </c>
      <c r="T321" s="932">
        <v>0</v>
      </c>
      <c r="U321" s="932">
        <v>0</v>
      </c>
      <c r="BC321"/>
      <c r="BD321"/>
      <c r="BE321" s="742"/>
      <c r="BF321" s="742"/>
      <c r="CA321" s="62"/>
      <c r="CF321" s="742">
        <v>0</v>
      </c>
      <c r="CG321" s="742">
        <v>0</v>
      </c>
      <c r="CH321" s="742">
        <v>0</v>
      </c>
      <c r="CI321" s="742">
        <v>0</v>
      </c>
      <c r="CJ321" s="742">
        <v>0</v>
      </c>
      <c r="CK321" s="742">
        <v>0</v>
      </c>
    </row>
    <row r="322" spans="2:89">
      <c r="B322" t="s">
        <v>91</v>
      </c>
      <c r="C322" t="s">
        <v>1259</v>
      </c>
      <c r="D322" s="932">
        <v>0</v>
      </c>
      <c r="E322" s="932">
        <v>0</v>
      </c>
      <c r="F322" s="932">
        <v>0</v>
      </c>
      <c r="G322" s="932">
        <v>0</v>
      </c>
      <c r="H322" s="932">
        <v>0</v>
      </c>
      <c r="I322" s="932">
        <v>0</v>
      </c>
      <c r="J322" s="932">
        <v>0</v>
      </c>
      <c r="K322" s="932">
        <v>0</v>
      </c>
      <c r="L322" s="932">
        <v>0</v>
      </c>
      <c r="M322" s="932">
        <v>0</v>
      </c>
      <c r="N322" s="932">
        <v>0</v>
      </c>
      <c r="O322" s="932">
        <v>0</v>
      </c>
      <c r="P322" s="932">
        <v>0</v>
      </c>
      <c r="Q322" s="932">
        <v>0</v>
      </c>
      <c r="R322" s="932">
        <v>0</v>
      </c>
      <c r="S322" s="932">
        <v>0</v>
      </c>
      <c r="T322" s="932">
        <v>0</v>
      </c>
      <c r="U322" s="932">
        <v>0</v>
      </c>
      <c r="BC322"/>
      <c r="BD322"/>
      <c r="BE322" s="742"/>
      <c r="BF322" s="742"/>
      <c r="CA322" s="62"/>
      <c r="CF322" s="742">
        <v>1</v>
      </c>
      <c r="CG322" s="742">
        <v>1</v>
      </c>
      <c r="CH322" s="742">
        <v>0</v>
      </c>
      <c r="CI322" s="742">
        <v>0</v>
      </c>
      <c r="CJ322" s="742">
        <v>1</v>
      </c>
      <c r="CK322" s="742">
        <v>1</v>
      </c>
    </row>
    <row r="323" spans="2:89">
      <c r="B323" t="s">
        <v>166</v>
      </c>
      <c r="C323" t="s">
        <v>1259</v>
      </c>
      <c r="D323" s="932">
        <v>0</v>
      </c>
      <c r="E323" s="932">
        <v>0</v>
      </c>
      <c r="F323" s="932">
        <v>0</v>
      </c>
      <c r="G323" s="932">
        <v>0</v>
      </c>
      <c r="H323" s="932">
        <v>0</v>
      </c>
      <c r="I323" s="932">
        <v>0</v>
      </c>
      <c r="J323" s="932">
        <v>0</v>
      </c>
      <c r="K323" s="932">
        <v>0</v>
      </c>
      <c r="L323" s="932">
        <v>0</v>
      </c>
      <c r="M323" s="932">
        <v>0</v>
      </c>
      <c r="N323" s="932">
        <v>0</v>
      </c>
      <c r="O323" s="932">
        <v>0</v>
      </c>
      <c r="P323" s="932">
        <v>0</v>
      </c>
      <c r="Q323" s="932">
        <v>0</v>
      </c>
      <c r="R323" s="932">
        <v>0</v>
      </c>
      <c r="S323" s="932">
        <v>0</v>
      </c>
      <c r="T323" s="932">
        <v>3807.9092678501002</v>
      </c>
      <c r="U323" s="932">
        <v>275.69730377870297</v>
      </c>
      <c r="Z323" s="44"/>
      <c r="AA323" s="44"/>
      <c r="AM323" s="44"/>
      <c r="BC323"/>
      <c r="BD323"/>
      <c r="BE323" s="742"/>
      <c r="BF323" s="742"/>
      <c r="CA323" s="62"/>
      <c r="CF323" s="742">
        <v>0</v>
      </c>
      <c r="CG323" s="742">
        <v>0</v>
      </c>
      <c r="CH323" s="742">
        <v>1</v>
      </c>
      <c r="CI323" s="742">
        <v>1</v>
      </c>
      <c r="CJ323" s="742">
        <v>0</v>
      </c>
      <c r="CK323" s="742">
        <v>0</v>
      </c>
    </row>
    <row r="324" spans="2:89">
      <c r="B324" t="s">
        <v>167</v>
      </c>
      <c r="C324" t="s">
        <v>1259</v>
      </c>
      <c r="D324" s="932">
        <v>0</v>
      </c>
      <c r="E324" s="932">
        <v>0</v>
      </c>
      <c r="F324" s="932">
        <v>0</v>
      </c>
      <c r="G324" s="932">
        <v>13450.4544050723</v>
      </c>
      <c r="H324" s="932">
        <v>0</v>
      </c>
      <c r="I324" s="932">
        <v>0</v>
      </c>
      <c r="J324" s="932">
        <v>0</v>
      </c>
      <c r="K324" s="932">
        <v>0</v>
      </c>
      <c r="L324" s="932">
        <v>0</v>
      </c>
      <c r="M324" s="932">
        <v>0</v>
      </c>
      <c r="N324" s="932">
        <v>0</v>
      </c>
      <c r="O324" s="932">
        <v>0</v>
      </c>
      <c r="P324" s="932">
        <v>0</v>
      </c>
      <c r="Q324" s="932">
        <v>0</v>
      </c>
      <c r="R324" s="932">
        <v>0</v>
      </c>
      <c r="S324" s="932">
        <v>0</v>
      </c>
      <c r="T324" s="932">
        <v>543.08975037218897</v>
      </c>
      <c r="U324" s="932">
        <v>5.5619491400849701E-2</v>
      </c>
      <c r="BC324"/>
      <c r="BD324"/>
      <c r="BE324" s="742"/>
      <c r="BF324" s="742"/>
      <c r="CA324" s="62"/>
      <c r="CF324" s="742">
        <v>0</v>
      </c>
      <c r="CG324" s="742">
        <v>0</v>
      </c>
      <c r="CH324" s="742">
        <v>0</v>
      </c>
      <c r="CI324" s="742">
        <v>0</v>
      </c>
      <c r="CJ324" s="742">
        <v>0</v>
      </c>
      <c r="CK324" s="742">
        <v>0</v>
      </c>
    </row>
    <row r="325" spans="2:89">
      <c r="B325" t="s">
        <v>168</v>
      </c>
      <c r="C325" t="s">
        <v>1259</v>
      </c>
      <c r="D325" s="932">
        <v>0</v>
      </c>
      <c r="E325" s="932">
        <v>0</v>
      </c>
      <c r="F325" s="932">
        <v>0</v>
      </c>
      <c r="G325" s="932">
        <v>0</v>
      </c>
      <c r="H325" s="932">
        <v>0</v>
      </c>
      <c r="I325" s="932">
        <v>0</v>
      </c>
      <c r="J325" s="932">
        <v>0</v>
      </c>
      <c r="K325" s="932">
        <v>0</v>
      </c>
      <c r="L325" s="932">
        <v>0</v>
      </c>
      <c r="M325" s="932">
        <v>0</v>
      </c>
      <c r="N325" s="932">
        <v>0</v>
      </c>
      <c r="O325" s="932">
        <v>0</v>
      </c>
      <c r="P325" s="932">
        <v>0</v>
      </c>
      <c r="Q325" s="932">
        <v>0</v>
      </c>
      <c r="R325" s="932">
        <v>0</v>
      </c>
      <c r="S325" s="932">
        <v>0</v>
      </c>
      <c r="T325" s="932">
        <v>806.25889551206205</v>
      </c>
      <c r="U325" s="932">
        <v>8848.0866165784591</v>
      </c>
      <c r="BC325"/>
      <c r="BD325"/>
      <c r="BE325" s="742"/>
      <c r="BF325" s="742"/>
      <c r="CA325" s="62"/>
      <c r="CF325" s="742">
        <v>-51433.2786745993</v>
      </c>
      <c r="CG325" s="742">
        <v>-60304.506861509901</v>
      </c>
      <c r="CH325" s="742">
        <v>-68280.018821553793</v>
      </c>
      <c r="CI325" s="742">
        <v>-67998.239482007106</v>
      </c>
      <c r="CJ325" s="742">
        <v>-89597.162927562196</v>
      </c>
      <c r="CK325" s="742">
        <v>-25009.420875846401</v>
      </c>
    </row>
    <row r="326" spans="2:89">
      <c r="B326" t="s">
        <v>849</v>
      </c>
      <c r="C326" t="s">
        <v>1259</v>
      </c>
      <c r="D326" s="932">
        <v>0</v>
      </c>
      <c r="E326" s="932">
        <v>0</v>
      </c>
      <c r="F326" s="932">
        <v>0</v>
      </c>
      <c r="G326" s="932">
        <v>0</v>
      </c>
      <c r="H326" s="932">
        <v>0</v>
      </c>
      <c r="I326" s="932">
        <v>0</v>
      </c>
      <c r="J326" s="932">
        <v>0</v>
      </c>
      <c r="K326" s="932">
        <v>0</v>
      </c>
      <c r="L326" s="932">
        <v>0</v>
      </c>
      <c r="M326" s="932">
        <v>0</v>
      </c>
      <c r="N326" s="932">
        <v>0</v>
      </c>
      <c r="O326" s="932">
        <v>0</v>
      </c>
      <c r="P326" s="932">
        <v>0</v>
      </c>
      <c r="Q326" s="932">
        <v>0</v>
      </c>
      <c r="R326" s="932">
        <v>0</v>
      </c>
      <c r="S326" s="932">
        <v>0</v>
      </c>
      <c r="T326" s="932">
        <v>0</v>
      </c>
      <c r="U326" s="932">
        <v>0</v>
      </c>
      <c r="BC326"/>
      <c r="BD326"/>
      <c r="BE326" s="742"/>
      <c r="BF326" s="742"/>
      <c r="CA326" s="62"/>
      <c r="CF326" s="742">
        <v>-1862.37061144518</v>
      </c>
      <c r="CG326" s="742">
        <v>-1597.80621782768</v>
      </c>
      <c r="CH326" s="742">
        <v>-3788.01681332201</v>
      </c>
      <c r="CI326" s="742">
        <v>-3770.2221250463799</v>
      </c>
      <c r="CJ326" s="742">
        <v>-2180.8575123236201</v>
      </c>
      <c r="CK326" s="742">
        <v>-927.72472931767902</v>
      </c>
    </row>
    <row r="327" spans="2:89">
      <c r="B327" t="s">
        <v>850</v>
      </c>
      <c r="C327" t="s">
        <v>1259</v>
      </c>
      <c r="D327" s="932">
        <v>0</v>
      </c>
      <c r="E327" s="932">
        <v>0</v>
      </c>
      <c r="F327" s="932">
        <v>0</v>
      </c>
      <c r="G327" s="932">
        <v>0.79999999999999905</v>
      </c>
      <c r="H327" s="932">
        <v>0</v>
      </c>
      <c r="I327" s="932">
        <v>0</v>
      </c>
      <c r="J327" s="932">
        <v>0</v>
      </c>
      <c r="K327" s="932">
        <v>0</v>
      </c>
      <c r="L327" s="932">
        <v>0</v>
      </c>
      <c r="M327" s="932">
        <v>0</v>
      </c>
      <c r="N327" s="932">
        <v>0</v>
      </c>
      <c r="O327" s="932">
        <v>0</v>
      </c>
      <c r="P327" s="932">
        <v>0</v>
      </c>
      <c r="Q327" s="932">
        <v>0</v>
      </c>
      <c r="R327" s="932">
        <v>0</v>
      </c>
      <c r="S327" s="932">
        <v>0</v>
      </c>
      <c r="T327" s="932">
        <v>5564.3581280823</v>
      </c>
      <c r="U327" s="932">
        <v>0.32286435311301998</v>
      </c>
      <c r="BC327"/>
      <c r="BD327"/>
      <c r="BE327" s="742"/>
      <c r="BF327" s="742"/>
      <c r="CA327" s="62"/>
      <c r="CF327" s="742">
        <v>8.6597253497172808</v>
      </c>
      <c r="CG327" s="742">
        <v>1.78274739696675</v>
      </c>
      <c r="CH327" s="742">
        <v>-38.973177827841198</v>
      </c>
      <c r="CI327" s="742">
        <v>-38.132669040107203</v>
      </c>
      <c r="CJ327" s="742">
        <v>-0.13489480779350199</v>
      </c>
      <c r="CK327" s="742">
        <v>0.21513376178530999</v>
      </c>
    </row>
    <row r="328" spans="2:89">
      <c r="B328" t="s">
        <v>1089</v>
      </c>
      <c r="C328" t="s">
        <v>1259</v>
      </c>
      <c r="D328" s="932">
        <v>0</v>
      </c>
      <c r="E328" s="932">
        <v>1.4647953557653799E-3</v>
      </c>
      <c r="F328" s="932">
        <v>0</v>
      </c>
      <c r="G328" s="932">
        <v>0</v>
      </c>
      <c r="H328" s="932">
        <v>72.146115665341796</v>
      </c>
      <c r="I328" s="932">
        <v>72.205085728417501</v>
      </c>
      <c r="J328" s="932">
        <v>35.145348653210903</v>
      </c>
      <c r="K328" s="932">
        <v>71.377065234161705</v>
      </c>
      <c r="L328" s="932">
        <v>71.375360475715894</v>
      </c>
      <c r="M328" s="932">
        <v>1.7047584343180401E-3</v>
      </c>
      <c r="N328" s="932">
        <v>9.7868051517429403E-11</v>
      </c>
      <c r="O328" s="932">
        <v>1.70412791457288E-2</v>
      </c>
      <c r="P328" s="932">
        <v>0.75102647096941999</v>
      </c>
      <c r="Q328" s="932">
        <v>71.375360474980596</v>
      </c>
      <c r="R328" s="932">
        <v>7.4041053050935896E-81</v>
      </c>
      <c r="S328" s="932">
        <v>0</v>
      </c>
      <c r="T328" s="932">
        <v>0</v>
      </c>
      <c r="U328" s="932">
        <v>0</v>
      </c>
      <c r="BC328"/>
      <c r="BD328"/>
      <c r="BE328" s="742"/>
      <c r="BF328" s="742"/>
      <c r="CA328" s="62"/>
      <c r="CF328" s="742">
        <v>0.31356387168187599</v>
      </c>
      <c r="CG328" s="742">
        <v>4.7235024775696501E-2</v>
      </c>
      <c r="CH328" s="742">
        <v>-2.1621413618276399</v>
      </c>
      <c r="CI328" s="742">
        <v>-2.1142993347662502</v>
      </c>
      <c r="CJ328" s="742">
        <v>-3.2834338201953302E-3</v>
      </c>
      <c r="CK328" s="742">
        <v>7.9803891465605892E-3</v>
      </c>
    </row>
    <row r="329" spans="2:89">
      <c r="B329" t="s">
        <v>1078</v>
      </c>
      <c r="C329" t="s">
        <v>1259</v>
      </c>
      <c r="D329" s="932">
        <v>0</v>
      </c>
      <c r="E329" s="932">
        <v>0</v>
      </c>
      <c r="F329" s="932">
        <v>0</v>
      </c>
      <c r="G329" s="932">
        <v>0</v>
      </c>
      <c r="H329" s="932">
        <v>0</v>
      </c>
      <c r="I329" s="932">
        <v>0</v>
      </c>
      <c r="J329" s="932">
        <v>0</v>
      </c>
      <c r="K329" s="932">
        <v>0</v>
      </c>
      <c r="L329" s="932">
        <v>0</v>
      </c>
      <c r="M329" s="932">
        <v>0</v>
      </c>
      <c r="N329" s="932">
        <v>0</v>
      </c>
      <c r="O329" s="932">
        <v>0</v>
      </c>
      <c r="P329" s="932">
        <v>0</v>
      </c>
      <c r="Q329" s="932">
        <v>0</v>
      </c>
      <c r="R329" s="932">
        <v>0</v>
      </c>
      <c r="S329" s="932">
        <v>0</v>
      </c>
      <c r="T329" s="932">
        <v>3.7800656757866702</v>
      </c>
      <c r="U329" s="932">
        <v>5.9556912880105497E-12</v>
      </c>
      <c r="BC329"/>
      <c r="BD329"/>
      <c r="BE329" s="742"/>
      <c r="BF329" s="742"/>
      <c r="CA329" s="62"/>
      <c r="CF329" s="745">
        <v>1.11325017199174E-5</v>
      </c>
      <c r="CG329" s="745">
        <v>4.0995654368671197E-5</v>
      </c>
      <c r="CH329" s="742">
        <v>5.5297036503087801E-2</v>
      </c>
      <c r="CI329" s="742">
        <v>5.5019711331214298E-2</v>
      </c>
      <c r="CJ329" s="745">
        <v>6.8877465256170895E-5</v>
      </c>
      <c r="CK329" s="745">
        <v>3.5103341004485397E-5</v>
      </c>
    </row>
    <row r="330" spans="2:89">
      <c r="B330" s="61"/>
      <c r="BC330"/>
      <c r="BD330"/>
      <c r="BE330" s="742"/>
      <c r="BF330" s="742"/>
      <c r="CA330" s="62"/>
      <c r="CF330" s="742">
        <v>3.0744743274361002E-4</v>
      </c>
      <c r="CG330" s="742">
        <v>1.54726067065177E-3</v>
      </c>
      <c r="CH330" s="742">
        <v>0.99674391093734105</v>
      </c>
      <c r="CI330" s="742">
        <v>0.99231381686424702</v>
      </c>
      <c r="CJ330" s="742">
        <v>2.8297242904326398E-3</v>
      </c>
      <c r="CK330" s="742">
        <v>9.4630896599599997E-4</v>
      </c>
    </row>
    <row r="331" spans="2:89">
      <c r="B331" s="61"/>
      <c r="F331" s="44"/>
      <c r="BC331"/>
      <c r="BD331"/>
      <c r="BE331" s="742"/>
      <c r="BF331" s="742"/>
      <c r="CA331" s="62"/>
      <c r="CF331" s="742">
        <v>-367156648.93228602</v>
      </c>
      <c r="CG331" s="742">
        <v>-209422304.31449601</v>
      </c>
      <c r="CH331" s="742">
        <v>-250297499.557785</v>
      </c>
      <c r="CI331" s="742">
        <v>-46250539.398077801</v>
      </c>
      <c r="CJ331" s="742">
        <v>-199034978.33170399</v>
      </c>
      <c r="CK331" s="742">
        <v>-48300642.980458699</v>
      </c>
    </row>
    <row r="332" spans="2:89">
      <c r="B332" s="61"/>
      <c r="BC332"/>
      <c r="BD332"/>
      <c r="BE332" s="742"/>
      <c r="BF332" s="742"/>
      <c r="CA332" s="62"/>
      <c r="CF332" s="742">
        <v>27.617101751132001</v>
      </c>
      <c r="CG332" s="742">
        <v>37.742065457410597</v>
      </c>
      <c r="CH332" s="742">
        <v>18.025268151245001</v>
      </c>
      <c r="CI332" s="742">
        <v>18.035605655773001</v>
      </c>
      <c r="CJ332" s="742">
        <v>41.083455668820797</v>
      </c>
      <c r="CK332" s="742">
        <v>26.957803414640299</v>
      </c>
    </row>
    <row r="333" spans="2:89">
      <c r="B333" s="61"/>
      <c r="F333" s="44"/>
      <c r="BC333"/>
      <c r="BD333"/>
      <c r="BE333" s="742"/>
      <c r="BF333" s="742"/>
      <c r="CA333" s="62"/>
      <c r="CF333" s="753">
        <v>25698.613236744499</v>
      </c>
      <c r="CG333" s="753">
        <v>12501.889738748299</v>
      </c>
      <c r="CH333" s="753">
        <v>13196.7010841477</v>
      </c>
      <c r="CI333" s="753">
        <v>2448.6213628683299</v>
      </c>
      <c r="CJ333" s="753">
        <v>7997.1943148850996</v>
      </c>
      <c r="CK333" s="753">
        <v>6952.6725785795097</v>
      </c>
    </row>
    <row r="334" spans="2:89">
      <c r="B334" s="61"/>
      <c r="F334" s="44"/>
      <c r="X334" s="44"/>
      <c r="Y334" s="44"/>
      <c r="AE334" s="44"/>
      <c r="AF334" s="44"/>
      <c r="AG334" s="44"/>
      <c r="AH334" s="44"/>
      <c r="AI334" s="44"/>
      <c r="AJ334" s="44"/>
      <c r="BM334" s="44"/>
      <c r="BN334" s="44"/>
      <c r="CA334" s="62"/>
      <c r="CF334" s="742">
        <v>0</v>
      </c>
      <c r="CG334" s="742">
        <v>0</v>
      </c>
      <c r="CH334" s="742">
        <v>0</v>
      </c>
      <c r="CI334" s="742">
        <v>1.1555987386583899</v>
      </c>
      <c r="CJ334" s="745">
        <v>2.9092770356678501E-5</v>
      </c>
      <c r="CK334" s="742">
        <v>1.15556964588803</v>
      </c>
    </row>
    <row r="335" spans="2:89">
      <c r="B335" s="61"/>
      <c r="F335" s="44"/>
      <c r="X335" s="44"/>
      <c r="Y335" s="44"/>
      <c r="AE335" s="44"/>
      <c r="AF335" s="44"/>
      <c r="AG335" s="44"/>
      <c r="AH335" s="44"/>
      <c r="AI335" s="44"/>
      <c r="AJ335" s="44"/>
      <c r="BC335"/>
      <c r="BD335"/>
      <c r="BE335" s="742"/>
      <c r="BF335" s="742"/>
      <c r="BK335" s="44"/>
      <c r="BL335" s="44"/>
      <c r="CA335" s="62"/>
      <c r="CF335" s="742">
        <v>0</v>
      </c>
      <c r="CG335" s="742">
        <v>0</v>
      </c>
      <c r="CH335" s="742">
        <v>0</v>
      </c>
      <c r="CI335" s="742">
        <v>0</v>
      </c>
      <c r="CJ335" s="742">
        <v>0</v>
      </c>
      <c r="CK335" s="742">
        <v>0</v>
      </c>
    </row>
    <row r="336" spans="2:89">
      <c r="B336" s="61"/>
      <c r="X336" s="44"/>
      <c r="Y336" s="44"/>
      <c r="AI336" s="44"/>
      <c r="AJ336" s="44"/>
      <c r="BC336"/>
      <c r="BD336" s="44"/>
      <c r="BE336" s="742"/>
      <c r="BF336" s="742"/>
      <c r="CA336" s="62"/>
      <c r="CF336" s="742">
        <v>0</v>
      </c>
      <c r="CG336" s="742">
        <v>0</v>
      </c>
      <c r="CH336" s="742">
        <v>0</v>
      </c>
      <c r="CI336" s="742">
        <v>0</v>
      </c>
      <c r="CJ336" s="742">
        <v>0</v>
      </c>
      <c r="CK336" s="742">
        <v>0</v>
      </c>
    </row>
    <row r="337" spans="2:89">
      <c r="B337" s="61"/>
      <c r="F337" s="44"/>
      <c r="BC337"/>
      <c r="BD337"/>
      <c r="BE337" s="742"/>
      <c r="BF337" s="742"/>
      <c r="CA337" s="62"/>
      <c r="CF337" s="742">
        <v>0</v>
      </c>
      <c r="CG337" s="742">
        <v>0</v>
      </c>
      <c r="CH337" s="742">
        <v>0</v>
      </c>
      <c r="CI337" s="742">
        <v>0</v>
      </c>
      <c r="CJ337" s="742">
        <v>0</v>
      </c>
      <c r="CK337" s="742">
        <v>0</v>
      </c>
    </row>
    <row r="338" spans="2:89">
      <c r="B338" s="61"/>
      <c r="BC338"/>
      <c r="BD338"/>
      <c r="BE338" s="742"/>
      <c r="BF338" s="742"/>
      <c r="CA338" s="62"/>
      <c r="CF338" s="742">
        <v>0</v>
      </c>
      <c r="CG338" s="742">
        <v>0</v>
      </c>
      <c r="CH338" s="742">
        <v>0</v>
      </c>
      <c r="CI338" s="742">
        <v>0</v>
      </c>
      <c r="CJ338" s="742">
        <v>0</v>
      </c>
      <c r="CK338" s="742">
        <v>0</v>
      </c>
    </row>
    <row r="339" spans="2:89">
      <c r="B339" s="61"/>
      <c r="BC339"/>
      <c r="BD339"/>
      <c r="BE339" s="742"/>
      <c r="BF339" s="742"/>
      <c r="CA339" s="62"/>
      <c r="CF339" s="742">
        <v>0</v>
      </c>
      <c r="CG339" s="742">
        <v>0</v>
      </c>
      <c r="CH339" s="742">
        <v>0</v>
      </c>
      <c r="CI339" s="742">
        <v>0</v>
      </c>
      <c r="CJ339" s="742">
        <v>0</v>
      </c>
      <c r="CK339" s="742">
        <v>0</v>
      </c>
    </row>
    <row r="340" spans="2:89">
      <c r="B340" s="61"/>
      <c r="G340" s="44"/>
      <c r="H340" s="44"/>
      <c r="AG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C340" s="44"/>
      <c r="BD340" s="44"/>
      <c r="BE340" s="742"/>
      <c r="BF340" s="742"/>
      <c r="BR340" s="44"/>
      <c r="BT340" s="44"/>
      <c r="BU340" s="44"/>
      <c r="CA340" s="62"/>
      <c r="CF340" s="742">
        <v>0</v>
      </c>
      <c r="CG340" s="742">
        <v>0</v>
      </c>
      <c r="CH340" s="742">
        <v>0</v>
      </c>
      <c r="CI340" s="742">
        <v>0</v>
      </c>
      <c r="CJ340" s="742">
        <v>0</v>
      </c>
      <c r="CK340" s="742">
        <v>0</v>
      </c>
    </row>
    <row r="341" spans="2:89">
      <c r="B341" s="61"/>
      <c r="G341" s="44"/>
      <c r="H341" s="44"/>
      <c r="Z341" s="44"/>
      <c r="AG341" s="44"/>
      <c r="AH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C341" s="44"/>
      <c r="BD341" s="44"/>
      <c r="BE341" s="742"/>
      <c r="BF341" s="742"/>
      <c r="BR341" s="44"/>
      <c r="BT341" s="44"/>
      <c r="BU341" s="44"/>
      <c r="CA341" s="62"/>
      <c r="CF341" s="742">
        <v>0</v>
      </c>
      <c r="CG341" s="742">
        <v>0</v>
      </c>
      <c r="CH341" s="742">
        <v>0</v>
      </c>
      <c r="CI341" s="742">
        <v>0</v>
      </c>
      <c r="CJ341" s="742">
        <v>0</v>
      </c>
      <c r="CK341" s="742">
        <v>0</v>
      </c>
    </row>
    <row r="342" spans="2:89">
      <c r="B342" s="61"/>
      <c r="G342" s="44"/>
      <c r="H342" s="44"/>
      <c r="Z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C342" s="44"/>
      <c r="BD342" s="44"/>
      <c r="BE342" s="742"/>
      <c r="BF342" s="742"/>
      <c r="BM342" s="44"/>
      <c r="BN342" s="44"/>
      <c r="BO342" s="44"/>
      <c r="BP342" s="44"/>
      <c r="BR342" s="44"/>
      <c r="BU342" s="44"/>
      <c r="CA342" s="62"/>
      <c r="CF342" s="742">
        <v>0</v>
      </c>
      <c r="CG342" s="742">
        <v>0</v>
      </c>
      <c r="CH342" s="742">
        <v>0</v>
      </c>
      <c r="CI342" s="742">
        <v>0</v>
      </c>
      <c r="CJ342" s="742">
        <v>0</v>
      </c>
      <c r="CK342" s="742">
        <v>0</v>
      </c>
    </row>
    <row r="343" spans="2:89">
      <c r="B343" s="61"/>
      <c r="G343" s="44"/>
      <c r="H343" s="44"/>
      <c r="Z343" s="44"/>
      <c r="AB343" s="44"/>
      <c r="AC343" s="44"/>
      <c r="AD343" s="44"/>
      <c r="AE343" s="44"/>
      <c r="AF343" s="44"/>
      <c r="AH343" s="44"/>
      <c r="AI343" s="44"/>
      <c r="AJ343" s="44"/>
      <c r="AK343" s="44"/>
      <c r="AL343" s="44"/>
      <c r="BA343" s="44"/>
      <c r="BC343"/>
      <c r="BD343"/>
      <c r="BE343" s="742"/>
      <c r="BF343" s="742"/>
      <c r="BK343" s="44"/>
      <c r="BL343" s="44"/>
      <c r="BM343" s="44"/>
      <c r="BN343" s="44"/>
      <c r="BR343" s="44"/>
      <c r="CA343" s="62"/>
      <c r="CF343" s="742">
        <v>0</v>
      </c>
      <c r="CG343" s="742">
        <v>0</v>
      </c>
      <c r="CH343" s="742">
        <v>0</v>
      </c>
      <c r="CI343" s="742">
        <v>0</v>
      </c>
      <c r="CJ343" s="742">
        <v>0</v>
      </c>
      <c r="CK343" s="742">
        <v>0</v>
      </c>
    </row>
    <row r="344" spans="2:89">
      <c r="B344" s="61"/>
      <c r="BC344"/>
      <c r="BD344"/>
      <c r="BE344" s="742"/>
      <c r="BF344" s="742"/>
      <c r="CA344" s="62"/>
      <c r="CF344" s="742">
        <v>0</v>
      </c>
      <c r="CG344" s="742">
        <v>0</v>
      </c>
      <c r="CH344" s="742">
        <v>0</v>
      </c>
      <c r="CI344" s="742">
        <v>0</v>
      </c>
      <c r="CJ344" s="742">
        <v>0</v>
      </c>
      <c r="CK344" s="742">
        <v>0</v>
      </c>
    </row>
    <row r="345" spans="2:89">
      <c r="B345" s="61"/>
      <c r="BC345"/>
      <c r="BD345"/>
      <c r="BE345" s="742"/>
      <c r="BF345" s="742"/>
      <c r="CA345" s="62"/>
      <c r="CF345" s="742">
        <v>13586.890207646</v>
      </c>
      <c r="CG345" s="742">
        <v>395.25592225600798</v>
      </c>
      <c r="CH345" s="742">
        <v>13191.5894579948</v>
      </c>
      <c r="CI345" s="742">
        <v>2447.4657641296799</v>
      </c>
      <c r="CJ345" s="742">
        <v>900.09210875610097</v>
      </c>
      <c r="CK345" s="742">
        <v>1942.6295776295799</v>
      </c>
    </row>
    <row r="346" spans="2:89">
      <c r="B346" s="61"/>
      <c r="BC346"/>
      <c r="BD346"/>
      <c r="BE346" s="742"/>
      <c r="BF346" s="742"/>
      <c r="CA346" s="62"/>
      <c r="CF346" s="742">
        <v>291.52502031826202</v>
      </c>
      <c r="CG346" s="742">
        <v>291.51795019256002</v>
      </c>
      <c r="CH346" s="742">
        <v>7.0701169418835898E-3</v>
      </c>
      <c r="CI346" s="742">
        <v>0</v>
      </c>
      <c r="CJ346" s="742">
        <v>3.7171358299952301E-2</v>
      </c>
      <c r="CK346" s="742">
        <v>291.48077883425998</v>
      </c>
    </row>
    <row r="347" spans="2:89">
      <c r="B347" s="61"/>
      <c r="BC347"/>
      <c r="BD347"/>
      <c r="BE347" s="742"/>
      <c r="BF347" s="742"/>
      <c r="CA347" s="62"/>
      <c r="CF347" s="753">
        <v>7782.8059120468597</v>
      </c>
      <c r="CG347" s="753">
        <v>7777.7737721660696</v>
      </c>
      <c r="CH347" s="753">
        <v>5.0097257986499599</v>
      </c>
      <c r="CI347" s="753">
        <v>0</v>
      </c>
      <c r="CJ347" s="753">
        <v>7096.7751916867401</v>
      </c>
      <c r="CK347" s="753">
        <v>680.35437232734</v>
      </c>
    </row>
    <row r="348" spans="2:89">
      <c r="B348" s="61"/>
      <c r="BC348"/>
      <c r="BD348"/>
      <c r="BE348" s="742"/>
      <c r="BF348" s="742"/>
      <c r="CA348" s="62"/>
      <c r="CF348" s="742">
        <v>0</v>
      </c>
      <c r="CG348" s="742">
        <v>0</v>
      </c>
      <c r="CH348" s="742">
        <v>0</v>
      </c>
      <c r="CI348" s="742">
        <v>0</v>
      </c>
      <c r="CJ348" s="742">
        <v>0</v>
      </c>
      <c r="CK348" s="742">
        <v>0</v>
      </c>
    </row>
    <row r="349" spans="2:89">
      <c r="B349" s="61"/>
      <c r="BC349"/>
      <c r="BD349"/>
      <c r="BE349" s="742"/>
      <c r="BF349" s="742"/>
      <c r="CA349" s="62"/>
      <c r="CF349" s="742">
        <v>4037.3920967334202</v>
      </c>
      <c r="CG349" s="742">
        <v>4037.3420941336299</v>
      </c>
      <c r="CH349" s="742">
        <v>5.0002478492373298E-2</v>
      </c>
      <c r="CI349" s="742">
        <v>0</v>
      </c>
      <c r="CJ349" s="742">
        <v>0.289813991183203</v>
      </c>
      <c r="CK349" s="742">
        <v>4037.0522801424399</v>
      </c>
    </row>
    <row r="350" spans="2:89">
      <c r="B350" s="61"/>
      <c r="BC350"/>
      <c r="BD350"/>
      <c r="BE350" s="742"/>
      <c r="BF350" s="742"/>
      <c r="CA350" s="62"/>
      <c r="CF350" s="742"/>
      <c r="CG350" s="742"/>
      <c r="CH350" s="742"/>
      <c r="CI350" s="742"/>
      <c r="CJ350" s="742"/>
      <c r="CK350" s="742"/>
    </row>
    <row r="351" spans="2:89">
      <c r="B351" s="61"/>
      <c r="X351" s="44"/>
      <c r="Y351" s="44"/>
      <c r="AE351" s="44"/>
      <c r="AF351" s="44"/>
      <c r="AG351" s="44"/>
      <c r="AH351" s="44"/>
      <c r="AI351" s="44"/>
      <c r="AJ351" s="44"/>
      <c r="BM351" s="44"/>
      <c r="BN351" s="44"/>
      <c r="CA351" s="62"/>
      <c r="CF351" s="742">
        <v>0</v>
      </c>
      <c r="CG351" s="742">
        <v>0</v>
      </c>
      <c r="CH351" s="742">
        <v>0</v>
      </c>
      <c r="CI351" s="742">
        <v>4.7193851862205202E-4</v>
      </c>
      <c r="CJ351" s="745">
        <v>3.6378721350472201E-9</v>
      </c>
      <c r="CK351" s="742">
        <v>1.66205100675707E-4</v>
      </c>
    </row>
    <row r="352" spans="2:89">
      <c r="B352" s="61"/>
      <c r="X352" s="44"/>
      <c r="Y352" s="44"/>
      <c r="AE352" s="44"/>
      <c r="AF352" s="44"/>
      <c r="AG352" s="44"/>
      <c r="AH352" s="44"/>
      <c r="AI352" s="44"/>
      <c r="AJ352" s="44"/>
      <c r="BC352"/>
      <c r="BD352"/>
      <c r="BE352" s="742"/>
      <c r="BF352" s="742"/>
      <c r="BK352" s="44"/>
      <c r="BL352" s="44"/>
      <c r="CA352" s="62"/>
      <c r="CF352" s="742">
        <v>0</v>
      </c>
      <c r="CG352" s="742">
        <v>0</v>
      </c>
      <c r="CH352" s="742">
        <v>0</v>
      </c>
      <c r="CI352" s="742">
        <v>0</v>
      </c>
      <c r="CJ352" s="742">
        <v>0</v>
      </c>
      <c r="CK352" s="742">
        <v>0</v>
      </c>
    </row>
    <row r="353" spans="2:89">
      <c r="B353" s="61"/>
      <c r="G353" s="44"/>
      <c r="H353" s="44"/>
      <c r="P353" s="44"/>
      <c r="X353" s="44"/>
      <c r="Y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BA353" s="44"/>
      <c r="BC353" s="44"/>
      <c r="BD353" s="44"/>
      <c r="BE353" s="742"/>
      <c r="BF353" s="745"/>
      <c r="BT353" s="44"/>
      <c r="BU353" s="44"/>
      <c r="CA353" s="62"/>
      <c r="CF353" s="742">
        <v>0</v>
      </c>
      <c r="CG353" s="742">
        <v>0</v>
      </c>
      <c r="CH353" s="742">
        <v>0</v>
      </c>
      <c r="CI353" s="742">
        <v>0</v>
      </c>
      <c r="CJ353" s="742">
        <v>0</v>
      </c>
      <c r="CK353" s="742">
        <v>0</v>
      </c>
    </row>
    <row r="354" spans="2:89">
      <c r="B354" s="61"/>
      <c r="G354" s="44"/>
      <c r="H354" s="44"/>
      <c r="X354" s="44"/>
      <c r="Y354" s="44"/>
      <c r="AG354" s="44"/>
      <c r="AH354" s="44"/>
      <c r="AK354" s="44"/>
      <c r="AL354" s="44"/>
      <c r="AM354" s="44"/>
      <c r="AN354" s="44"/>
      <c r="AO354" s="44"/>
      <c r="AP354" s="44"/>
      <c r="AQ354" s="44"/>
      <c r="AR354" s="44"/>
      <c r="AS354" s="44"/>
      <c r="BA354" s="44"/>
      <c r="BC354"/>
      <c r="BD354"/>
      <c r="BE354" s="742"/>
      <c r="BF354" s="745"/>
      <c r="BR354" s="44"/>
      <c r="BT354" s="44"/>
      <c r="CA354" s="62"/>
      <c r="CF354" s="742">
        <v>0</v>
      </c>
      <c r="CG354" s="742">
        <v>0</v>
      </c>
      <c r="CH354" s="742">
        <v>0</v>
      </c>
      <c r="CI354" s="742">
        <v>0</v>
      </c>
      <c r="CJ354" s="742">
        <v>0</v>
      </c>
      <c r="CK354" s="742">
        <v>0</v>
      </c>
    </row>
    <row r="355" spans="2:89">
      <c r="B355" s="61"/>
      <c r="X355" s="44"/>
      <c r="Y355" s="44"/>
      <c r="AM355" s="44"/>
      <c r="AN355" s="44"/>
      <c r="AO355" s="44"/>
      <c r="AP355" s="44"/>
      <c r="AQ355" s="44"/>
      <c r="AR355" s="44"/>
      <c r="AS355" s="44"/>
      <c r="BC355"/>
      <c r="BD355"/>
      <c r="BE355" s="742"/>
      <c r="BF355" s="742"/>
      <c r="CA355" s="62"/>
      <c r="CF355" s="742">
        <v>0</v>
      </c>
      <c r="CG355" s="742">
        <v>0</v>
      </c>
      <c r="CH355" s="742">
        <v>0</v>
      </c>
      <c r="CI355" s="742">
        <v>0</v>
      </c>
      <c r="CJ355" s="742">
        <v>0</v>
      </c>
      <c r="CK355" s="742">
        <v>0</v>
      </c>
    </row>
    <row r="356" spans="2:89">
      <c r="B356" s="61"/>
      <c r="BC356"/>
      <c r="BD356"/>
      <c r="BE356" s="742"/>
      <c r="BF356" s="742"/>
      <c r="CA356" s="62"/>
      <c r="CF356" s="742">
        <v>0</v>
      </c>
      <c r="CG356" s="742">
        <v>0</v>
      </c>
      <c r="CH356" s="742">
        <v>0</v>
      </c>
      <c r="CI356" s="742">
        <v>0</v>
      </c>
      <c r="CJ356" s="742">
        <v>0</v>
      </c>
      <c r="CK356" s="742">
        <v>0</v>
      </c>
    </row>
    <row r="357" spans="2:89">
      <c r="B357" s="61"/>
      <c r="G357" s="44"/>
      <c r="H357" s="44"/>
      <c r="AB357" s="44"/>
      <c r="AC357" s="44"/>
      <c r="AG357" s="44"/>
      <c r="AH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C357" s="44"/>
      <c r="BD357" s="44"/>
      <c r="BE357" s="742"/>
      <c r="BF357" s="742"/>
      <c r="BR357" s="44"/>
      <c r="BT357" s="44"/>
      <c r="BU357" s="44"/>
      <c r="CA357" s="62"/>
      <c r="CF357" s="742">
        <v>0</v>
      </c>
      <c r="CG357" s="742">
        <v>0</v>
      </c>
      <c r="CH357" s="742">
        <v>0</v>
      </c>
      <c r="CI357" s="742">
        <v>0</v>
      </c>
      <c r="CJ357" s="742">
        <v>0</v>
      </c>
      <c r="CK357" s="742">
        <v>0</v>
      </c>
    </row>
    <row r="358" spans="2:89">
      <c r="B358" s="61"/>
      <c r="G358" s="44"/>
      <c r="H358" s="44"/>
      <c r="I358" s="44"/>
      <c r="J358" s="44"/>
      <c r="K358" s="44"/>
      <c r="L358" s="44"/>
      <c r="M358" s="44"/>
      <c r="N358" s="44"/>
      <c r="O358" s="44"/>
      <c r="Q358" s="44"/>
      <c r="R358" s="44"/>
      <c r="S358" s="44"/>
      <c r="U358" s="44"/>
      <c r="V358" s="44"/>
      <c r="Z358" s="44"/>
      <c r="AB358" s="44"/>
      <c r="AC358" s="44"/>
      <c r="AD358" s="44"/>
      <c r="AE358" s="44"/>
      <c r="AF358" s="44"/>
      <c r="AG358" s="44"/>
      <c r="AH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C358" s="44"/>
      <c r="BD358" s="44"/>
      <c r="BE358" s="742"/>
      <c r="BF358" s="742"/>
      <c r="BM358" s="44"/>
      <c r="BN358" s="44"/>
      <c r="BO358" s="44"/>
      <c r="BP358" s="44"/>
      <c r="BR358" s="44"/>
      <c r="BT358" s="44"/>
      <c r="BU358" s="44"/>
      <c r="CA358" s="62"/>
      <c r="CF358" s="742">
        <v>0</v>
      </c>
      <c r="CG358" s="742">
        <v>0</v>
      </c>
      <c r="CH358" s="742">
        <v>0</v>
      </c>
      <c r="CI358" s="742">
        <v>0</v>
      </c>
      <c r="CJ358" s="742">
        <v>0</v>
      </c>
      <c r="CK358" s="742">
        <v>0</v>
      </c>
    </row>
    <row r="359" spans="2:89">
      <c r="B359" s="61"/>
      <c r="G359" s="44"/>
      <c r="H359" s="44"/>
      <c r="I359" s="44"/>
      <c r="J359" s="44"/>
      <c r="K359" s="44"/>
      <c r="L359" s="44"/>
      <c r="M359" s="44"/>
      <c r="N359" s="44"/>
      <c r="O359" s="44"/>
      <c r="Q359" s="44"/>
      <c r="R359" s="44"/>
      <c r="S359" s="44"/>
      <c r="U359" s="44"/>
      <c r="V359" s="44"/>
      <c r="Z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C359" s="44"/>
      <c r="BD359" s="44"/>
      <c r="BE359" s="742"/>
      <c r="BF359" s="742"/>
      <c r="BK359" s="44"/>
      <c r="BL359" s="44"/>
      <c r="BM359" s="44"/>
      <c r="BN359" s="44"/>
      <c r="BO359" s="44"/>
      <c r="BP359" s="44"/>
      <c r="BR359" s="44"/>
      <c r="BU359" s="44"/>
      <c r="CA359" s="62"/>
      <c r="CF359" s="742">
        <v>0</v>
      </c>
      <c r="CG359" s="742">
        <v>0</v>
      </c>
      <c r="CH359" s="742">
        <v>0</v>
      </c>
      <c r="CI359" s="742">
        <v>0</v>
      </c>
      <c r="CJ359" s="742">
        <v>0</v>
      </c>
      <c r="CK359" s="742">
        <v>0</v>
      </c>
    </row>
    <row r="360" spans="2:89">
      <c r="B360" s="61"/>
      <c r="G360" s="44"/>
      <c r="H360" s="44"/>
      <c r="R360" s="44"/>
      <c r="S360" s="44"/>
      <c r="U360" s="44"/>
      <c r="V360" s="44"/>
      <c r="Z360" s="44"/>
      <c r="AB360" s="44"/>
      <c r="AC360" s="44"/>
      <c r="AD360" s="44"/>
      <c r="AE360" s="44"/>
      <c r="AF360" s="44"/>
      <c r="AH360" s="44"/>
      <c r="AI360" s="44"/>
      <c r="AJ360" s="44"/>
      <c r="AK360" s="44"/>
      <c r="AL360" s="44"/>
      <c r="BA360" s="44"/>
      <c r="BC360"/>
      <c r="BD360"/>
      <c r="BE360" s="742"/>
      <c r="BF360" s="742"/>
      <c r="BK360" s="44"/>
      <c r="BL360" s="44"/>
      <c r="BM360" s="44"/>
      <c r="BN360" s="44"/>
      <c r="BR360" s="44"/>
      <c r="CA360" s="62"/>
      <c r="CF360" s="742">
        <v>0</v>
      </c>
      <c r="CG360" s="742">
        <v>0</v>
      </c>
      <c r="CH360" s="742">
        <v>0</v>
      </c>
      <c r="CI360" s="742">
        <v>0</v>
      </c>
      <c r="CJ360" s="742">
        <v>0</v>
      </c>
      <c r="CK360" s="742">
        <v>0</v>
      </c>
    </row>
    <row r="361" spans="2:89">
      <c r="B361" s="61"/>
      <c r="BC361"/>
      <c r="BD361"/>
      <c r="BE361" s="742"/>
      <c r="BF361" s="742"/>
      <c r="CA361" s="62"/>
      <c r="CF361" s="742">
        <v>0</v>
      </c>
      <c r="CG361" s="742">
        <v>0</v>
      </c>
      <c r="CH361" s="742">
        <v>0</v>
      </c>
      <c r="CI361" s="742">
        <v>0</v>
      </c>
      <c r="CJ361" s="742">
        <v>0</v>
      </c>
      <c r="CK361" s="742">
        <v>0</v>
      </c>
    </row>
    <row r="362" spans="2:89">
      <c r="B362" s="61"/>
      <c r="BC362"/>
      <c r="BD362"/>
      <c r="BE362" s="742"/>
      <c r="BF362" s="742"/>
      <c r="CA362" s="62"/>
      <c r="CF362" s="742">
        <v>0.52870129926774001</v>
      </c>
      <c r="CG362" s="742">
        <v>3.1615694148297797E-2</v>
      </c>
      <c r="CH362" s="742">
        <v>0.99961265879099204</v>
      </c>
      <c r="CI362" s="742">
        <v>0.99952806148137796</v>
      </c>
      <c r="CJ362" s="742">
        <v>0.11255098642292199</v>
      </c>
      <c r="CK362" s="742">
        <v>0.27940760271303899</v>
      </c>
    </row>
    <row r="363" spans="2:89">
      <c r="B363" s="61"/>
      <c r="BC363"/>
      <c r="BD363"/>
      <c r="BE363" s="742"/>
      <c r="BF363" s="742"/>
      <c r="CA363" s="62"/>
      <c r="CF363" s="742">
        <v>1.13439981228805E-2</v>
      </c>
      <c r="CG363" s="742">
        <v>2.3317910834634199E-2</v>
      </c>
      <c r="CH363" s="745">
        <v>5.3574881304058998E-7</v>
      </c>
      <c r="CI363" s="742">
        <v>0</v>
      </c>
      <c r="CJ363" s="745">
        <v>4.6480499080490801E-6</v>
      </c>
      <c r="CK363" s="742">
        <v>4.1923558968141698E-2</v>
      </c>
    </row>
    <row r="364" spans="2:89">
      <c r="B364" s="61"/>
      <c r="BC364"/>
      <c r="BD364"/>
      <c r="BE364" s="742"/>
      <c r="BF364" s="742"/>
      <c r="CA364" s="62"/>
      <c r="CF364" s="753">
        <v>0.302849256508472</v>
      </c>
      <c r="CG364" s="753">
        <v>0.62212784904506802</v>
      </c>
      <c r="CH364" s="753">
        <v>3.7961955542569701E-4</v>
      </c>
      <c r="CI364" s="753">
        <v>0</v>
      </c>
      <c r="CJ364" s="753">
        <v>0.887408122430837</v>
      </c>
      <c r="CK364" s="753">
        <v>9.7855085887899207E-2</v>
      </c>
    </row>
    <row r="365" spans="2:89" s="43" customFormat="1">
      <c r="B365" s="61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 s="742"/>
      <c r="BF365" s="742"/>
      <c r="BG365"/>
      <c r="BH365" s="44"/>
      <c r="BI365" s="44"/>
      <c r="BJ365"/>
      <c r="BK365"/>
      <c r="BL365"/>
      <c r="BM365"/>
      <c r="BN365"/>
      <c r="BO365"/>
      <c r="BP365"/>
      <c r="BQ365"/>
      <c r="BR365"/>
      <c r="CA365" s="62"/>
      <c r="CF365" s="742">
        <v>0</v>
      </c>
      <c r="CG365" s="742">
        <v>0</v>
      </c>
      <c r="CH365" s="742">
        <v>0</v>
      </c>
      <c r="CI365" s="742">
        <v>0</v>
      </c>
      <c r="CJ365" s="742">
        <v>0</v>
      </c>
      <c r="CK365" s="742">
        <v>0</v>
      </c>
    </row>
    <row r="366" spans="2:89">
      <c r="B366" s="61"/>
      <c r="BC366"/>
      <c r="BD366"/>
      <c r="BE366" s="742"/>
      <c r="BF366" s="745"/>
      <c r="BG366" s="44"/>
      <c r="CA366" s="346"/>
      <c r="CF366" s="742">
        <v>0.15710544610090699</v>
      </c>
      <c r="CG366" s="742">
        <v>0.322938545972</v>
      </c>
      <c r="CH366" s="745">
        <v>3.7890134946254001E-6</v>
      </c>
      <c r="CI366" s="742">
        <v>0</v>
      </c>
      <c r="CJ366" s="745">
        <v>3.6239458461547598E-5</v>
      </c>
      <c r="CK366" s="742">
        <v>0.58064754733024404</v>
      </c>
    </row>
    <row r="367" spans="2:89">
      <c r="B367" s="182"/>
      <c r="C367" s="43"/>
      <c r="D367" s="43"/>
      <c r="E367" s="43"/>
      <c r="F367" s="46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  <c r="AR367" s="43"/>
      <c r="AS367" s="43"/>
      <c r="AT367" s="43"/>
      <c r="AU367" s="43"/>
      <c r="AV367" s="43"/>
      <c r="AW367" s="43"/>
      <c r="AX367" s="43"/>
      <c r="AY367" s="43"/>
      <c r="AZ367" s="43"/>
      <c r="BA367" s="43"/>
      <c r="BB367" s="43"/>
      <c r="BC367"/>
      <c r="BD367"/>
      <c r="BE367" s="744"/>
      <c r="BF367" s="744"/>
      <c r="BG367" s="43"/>
      <c r="BH367" s="43"/>
      <c r="BI367" s="43"/>
      <c r="BJ367" s="43"/>
      <c r="BK367" s="43"/>
      <c r="BL367" s="43"/>
      <c r="BM367" s="43"/>
      <c r="BN367" s="43"/>
      <c r="BO367" s="43"/>
      <c r="BP367" s="43"/>
      <c r="BQ367" s="43"/>
      <c r="BR367" s="43"/>
      <c r="CA367" s="62"/>
      <c r="CF367" s="753">
        <v>709721.21662216098</v>
      </c>
      <c r="CG367" s="753">
        <v>471847.14086116699</v>
      </c>
      <c r="CH367" s="753">
        <v>237874.075753588</v>
      </c>
      <c r="CI367" s="753">
        <v>44162.369300994797</v>
      </c>
      <c r="CJ367" s="753">
        <v>328552.378110527</v>
      </c>
      <c r="CK367" s="753">
        <v>187428.780579707</v>
      </c>
    </row>
    <row r="368" spans="2:89">
      <c r="B368" s="61"/>
      <c r="F368" s="44"/>
      <c r="X368" s="44"/>
      <c r="Y368" s="44"/>
      <c r="AE368" s="44"/>
      <c r="AF368" s="44"/>
      <c r="AG368" s="44"/>
      <c r="AH368" s="44"/>
      <c r="AI368" s="44"/>
      <c r="AJ368" s="44"/>
      <c r="BM368" s="44"/>
      <c r="BN368" s="44"/>
      <c r="CA368" s="62"/>
      <c r="CF368" s="742">
        <v>0</v>
      </c>
      <c r="CG368" s="742">
        <v>0</v>
      </c>
      <c r="CH368" s="742">
        <v>0</v>
      </c>
      <c r="CI368" s="742">
        <v>70.588269784562598</v>
      </c>
      <c r="CJ368" s="742">
        <v>1.7770946384916501E-3</v>
      </c>
      <c r="CK368" s="742">
        <v>70.586492689923901</v>
      </c>
    </row>
    <row r="369" spans="2:89">
      <c r="B369" s="61"/>
      <c r="F369" s="44"/>
      <c r="X369" s="44"/>
      <c r="Y369" s="44"/>
      <c r="AE369" s="44"/>
      <c r="AF369" s="44"/>
      <c r="AG369" s="44"/>
      <c r="AH369" s="44"/>
      <c r="AI369" s="44"/>
      <c r="AJ369" s="44"/>
      <c r="BC369"/>
      <c r="BD369"/>
      <c r="BE369" s="742"/>
      <c r="BF369" s="742"/>
      <c r="BK369" s="44"/>
      <c r="BL369" s="44"/>
      <c r="CA369" s="62"/>
      <c r="CF369" s="742">
        <v>0</v>
      </c>
      <c r="CG369" s="742">
        <v>0</v>
      </c>
      <c r="CH369" s="742">
        <v>0</v>
      </c>
      <c r="CI369" s="742">
        <v>0</v>
      </c>
      <c r="CJ369" s="742">
        <v>0</v>
      </c>
      <c r="CK369" s="742">
        <v>0</v>
      </c>
    </row>
    <row r="370" spans="2:89">
      <c r="B370" s="61"/>
      <c r="AI370" s="44"/>
      <c r="AJ370" s="44"/>
      <c r="BC370"/>
      <c r="BD370"/>
      <c r="BE370" s="742"/>
      <c r="BF370" s="742"/>
      <c r="CA370" s="62"/>
      <c r="CF370" s="742">
        <v>0</v>
      </c>
      <c r="CG370" s="742">
        <v>0</v>
      </c>
      <c r="CH370" s="742">
        <v>0</v>
      </c>
      <c r="CI370" s="742">
        <v>0</v>
      </c>
      <c r="CJ370" s="742">
        <v>0</v>
      </c>
      <c r="CK370" s="742">
        <v>0</v>
      </c>
    </row>
    <row r="371" spans="2:89">
      <c r="B371" s="61"/>
      <c r="BC371"/>
      <c r="BD371"/>
      <c r="BE371" s="742"/>
      <c r="BF371" s="742"/>
      <c r="CA371" s="62"/>
      <c r="CF371" s="742">
        <v>0</v>
      </c>
      <c r="CG371" s="742">
        <v>0</v>
      </c>
      <c r="CH371" s="742">
        <v>0</v>
      </c>
      <c r="CI371" s="742">
        <v>0</v>
      </c>
      <c r="CJ371" s="742">
        <v>0</v>
      </c>
      <c r="CK371" s="742">
        <v>0</v>
      </c>
    </row>
    <row r="372" spans="2:89">
      <c r="B372" s="61"/>
      <c r="BC372"/>
      <c r="BD372"/>
      <c r="BE372" s="742"/>
      <c r="BF372" s="742"/>
      <c r="CA372" s="62"/>
      <c r="CF372" s="742">
        <v>0</v>
      </c>
      <c r="CG372" s="742">
        <v>0</v>
      </c>
      <c r="CH372" s="742">
        <v>0</v>
      </c>
      <c r="CI372" s="742">
        <v>0</v>
      </c>
      <c r="CJ372" s="742">
        <v>0</v>
      </c>
      <c r="CK372" s="742">
        <v>0</v>
      </c>
    </row>
    <row r="373" spans="2:89">
      <c r="B373" s="61"/>
      <c r="BC373"/>
      <c r="BD373"/>
      <c r="BE373" s="742"/>
      <c r="BF373" s="742"/>
      <c r="CA373" s="62"/>
      <c r="CF373" s="742">
        <v>0</v>
      </c>
      <c r="CG373" s="742">
        <v>0</v>
      </c>
      <c r="CH373" s="742">
        <v>0</v>
      </c>
      <c r="CI373" s="742">
        <v>0</v>
      </c>
      <c r="CJ373" s="742">
        <v>0</v>
      </c>
      <c r="CK373" s="742">
        <v>0</v>
      </c>
    </row>
    <row r="374" spans="2:89">
      <c r="B374" s="61"/>
      <c r="AG374" s="44"/>
      <c r="AM374" s="44"/>
      <c r="AN374" s="44"/>
      <c r="AO374" s="44"/>
      <c r="AP374" s="44"/>
      <c r="AQ374" s="44"/>
      <c r="AR374" s="44"/>
      <c r="AS374" s="44"/>
      <c r="AY374" s="44"/>
      <c r="BA374" s="44"/>
      <c r="BC374" s="44"/>
      <c r="BD374" s="44"/>
      <c r="BE374" s="742"/>
      <c r="BF374" s="742"/>
      <c r="BR374" s="44"/>
      <c r="BT374" s="44"/>
      <c r="BU374" s="44"/>
      <c r="CA374" s="62"/>
      <c r="CF374" s="742">
        <v>0</v>
      </c>
      <c r="CG374" s="742">
        <v>0</v>
      </c>
      <c r="CH374" s="742">
        <v>0</v>
      </c>
      <c r="CI374" s="742">
        <v>0</v>
      </c>
      <c r="CJ374" s="742">
        <v>0</v>
      </c>
      <c r="CK374" s="742">
        <v>0</v>
      </c>
    </row>
    <row r="375" spans="2:89">
      <c r="B375" s="61"/>
      <c r="G375" s="44"/>
      <c r="H375" s="44"/>
      <c r="AG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C375" s="44"/>
      <c r="BD375" s="44"/>
      <c r="BE375" s="742"/>
      <c r="BF375" s="742"/>
      <c r="BR375" s="44"/>
      <c r="BT375" s="44"/>
      <c r="BU375" s="44"/>
      <c r="CA375" s="62"/>
      <c r="CF375" s="742">
        <v>0</v>
      </c>
      <c r="CG375" s="742">
        <v>0</v>
      </c>
      <c r="CH375" s="742">
        <v>0</v>
      </c>
      <c r="CI375" s="742">
        <v>0</v>
      </c>
      <c r="CJ375" s="742">
        <v>0</v>
      </c>
      <c r="CK375" s="742">
        <v>0</v>
      </c>
    </row>
    <row r="376" spans="2:89">
      <c r="B376" s="61"/>
      <c r="G376" s="44"/>
      <c r="H376" s="44"/>
      <c r="Z376" s="44"/>
      <c r="AG376" s="44"/>
      <c r="AH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C376" s="44"/>
      <c r="BD376" s="44"/>
      <c r="BE376" s="742"/>
      <c r="BF376" s="742"/>
      <c r="BR376" s="44"/>
      <c r="BU376" s="44"/>
      <c r="CA376" s="62"/>
      <c r="CF376" s="742">
        <v>0</v>
      </c>
      <c r="CG376" s="742">
        <v>0</v>
      </c>
      <c r="CH376" s="742">
        <v>0</v>
      </c>
      <c r="CI376" s="742">
        <v>0</v>
      </c>
      <c r="CJ376" s="742">
        <v>0</v>
      </c>
      <c r="CK376" s="742">
        <v>0</v>
      </c>
    </row>
    <row r="377" spans="2:89">
      <c r="B377" s="61"/>
      <c r="G377" s="44"/>
      <c r="H377" s="44"/>
      <c r="Z377" s="44"/>
      <c r="AH377" s="44"/>
      <c r="AK377" s="44"/>
      <c r="AL377" s="44"/>
      <c r="BA377" s="44"/>
      <c r="BC377"/>
      <c r="BD377"/>
      <c r="BE377" s="742"/>
      <c r="BF377" s="742"/>
      <c r="BR377" s="44"/>
      <c r="CA377" s="62"/>
      <c r="CF377" s="742">
        <v>0</v>
      </c>
      <c r="CG377" s="742">
        <v>0</v>
      </c>
      <c r="CH377" s="742">
        <v>0</v>
      </c>
      <c r="CI377" s="742">
        <v>0</v>
      </c>
      <c r="CJ377" s="742">
        <v>0</v>
      </c>
      <c r="CK377" s="742">
        <v>0</v>
      </c>
    </row>
    <row r="378" spans="2:89">
      <c r="B378" s="61"/>
      <c r="BC378"/>
      <c r="BD378"/>
      <c r="BE378" s="742"/>
      <c r="BF378" s="742"/>
      <c r="CA378" s="62"/>
      <c r="CF378" s="742">
        <v>0</v>
      </c>
      <c r="CG378" s="742">
        <v>0</v>
      </c>
      <c r="CH378" s="742">
        <v>0</v>
      </c>
      <c r="CI378" s="742">
        <v>0</v>
      </c>
      <c r="CJ378" s="742">
        <v>0</v>
      </c>
      <c r="CK378" s="742">
        <v>0</v>
      </c>
    </row>
    <row r="379" spans="2:89">
      <c r="B379" s="61"/>
      <c r="BC379"/>
      <c r="BD379"/>
      <c r="BE379" s="742"/>
      <c r="BF379" s="742"/>
      <c r="CA379" s="62"/>
      <c r="CF379" s="742">
        <v>244771.63141999999</v>
      </c>
      <c r="CG379" s="742">
        <v>7120.64611110021</v>
      </c>
      <c r="CH379" s="742">
        <v>237650.17773082599</v>
      </c>
      <c r="CI379" s="742">
        <v>44091.781031210201</v>
      </c>
      <c r="CJ379" s="742">
        <v>16215.411365031599</v>
      </c>
      <c r="CK379" s="742">
        <v>34997.015777278699</v>
      </c>
    </row>
    <row r="380" spans="2:89">
      <c r="B380" s="61"/>
      <c r="BC380"/>
      <c r="BD380"/>
      <c r="BE380" s="742"/>
      <c r="BF380" s="742"/>
      <c r="CA380" s="62"/>
      <c r="CF380" s="742">
        <v>9328.4508201600293</v>
      </c>
      <c r="CG380" s="742">
        <v>9328.2245846217302</v>
      </c>
      <c r="CH380" s="742">
        <v>0.22623525799994501</v>
      </c>
      <c r="CI380" s="742">
        <v>0</v>
      </c>
      <c r="CJ380" s="742">
        <v>1.18943885996851</v>
      </c>
      <c r="CK380" s="742">
        <v>9327.0351457617198</v>
      </c>
    </row>
    <row r="381" spans="2:89">
      <c r="B381" s="61"/>
      <c r="BC381"/>
      <c r="BD381"/>
      <c r="BE381" s="753"/>
      <c r="BF381" s="753"/>
      <c r="CA381" s="62"/>
      <c r="CF381" s="753">
        <v>342519.73162800103</v>
      </c>
      <c r="CG381" s="753">
        <v>342298.268158274</v>
      </c>
      <c r="CH381" s="753">
        <v>220.47703045342499</v>
      </c>
      <c r="CI381" s="753">
        <v>0</v>
      </c>
      <c r="CJ381" s="753">
        <v>312327.656831095</v>
      </c>
      <c r="CK381" s="753">
        <v>29942.259855251701</v>
      </c>
    </row>
    <row r="382" spans="2:89">
      <c r="B382" s="61"/>
      <c r="BC382"/>
      <c r="BD382"/>
      <c r="BE382" s="742"/>
      <c r="BF382" s="742"/>
      <c r="CA382" s="62"/>
      <c r="CF382" s="742">
        <v>0</v>
      </c>
      <c r="CG382" s="742">
        <v>0</v>
      </c>
      <c r="CH382" s="742">
        <v>0</v>
      </c>
      <c r="CI382" s="742">
        <v>0</v>
      </c>
      <c r="CJ382" s="742">
        <v>0</v>
      </c>
      <c r="CK382" s="742">
        <v>0</v>
      </c>
    </row>
    <row r="383" spans="2:89">
      <c r="B383" s="61"/>
      <c r="BC383"/>
      <c r="BD383"/>
      <c r="BE383" s="742"/>
      <c r="BF383" s="742"/>
      <c r="CA383" s="62"/>
      <c r="CF383" s="762">
        <v>113101.402754</v>
      </c>
      <c r="CG383" s="762">
        <v>113100.002007171</v>
      </c>
      <c r="CH383" s="762">
        <v>1.4007434311965301</v>
      </c>
      <c r="CI383" s="762">
        <v>0</v>
      </c>
      <c r="CJ383" s="762">
        <v>8.1186984457308498</v>
      </c>
      <c r="CK383" s="762">
        <v>113091.883308725</v>
      </c>
    </row>
    <row r="384" spans="2:89">
      <c r="B384" s="61"/>
      <c r="BC384"/>
      <c r="BD384"/>
      <c r="BE384" s="742"/>
      <c r="BF384" s="742"/>
      <c r="CA384" s="62"/>
      <c r="CF384" s="742"/>
      <c r="CG384" s="742"/>
      <c r="CH384" s="742"/>
      <c r="CI384" s="742"/>
      <c r="CJ384" s="742"/>
      <c r="CK384" s="742"/>
    </row>
    <row r="385" spans="2:89">
      <c r="B385" s="61"/>
      <c r="P385" s="44"/>
      <c r="X385" s="44"/>
      <c r="Y385" s="44"/>
      <c r="AE385" s="44"/>
      <c r="AF385" s="44"/>
      <c r="AG385" s="44"/>
      <c r="AH385" s="44"/>
      <c r="AI385" s="44"/>
      <c r="AJ385" s="44"/>
      <c r="BJ385" s="44"/>
      <c r="BM385" s="44"/>
      <c r="BN385" s="44"/>
      <c r="BQ385" s="44"/>
      <c r="BR385" s="44"/>
      <c r="BS385" s="44"/>
      <c r="CA385" s="62"/>
      <c r="CF385" s="742">
        <v>0</v>
      </c>
      <c r="CG385" s="742">
        <v>0</v>
      </c>
      <c r="CH385" s="742">
        <v>0</v>
      </c>
      <c r="CI385" s="742">
        <v>1.5983804968311001E-3</v>
      </c>
      <c r="CJ385" s="745">
        <v>5.4088625037856903E-9</v>
      </c>
      <c r="CK385" s="742">
        <v>3.7660434257537101E-4</v>
      </c>
    </row>
    <row r="386" spans="2:89">
      <c r="B386" s="61"/>
      <c r="P386" s="44"/>
      <c r="X386" s="44"/>
      <c r="Y386" s="44"/>
      <c r="AE386" s="44"/>
      <c r="AF386" s="44"/>
      <c r="AG386" s="44"/>
      <c r="AH386" s="44"/>
      <c r="AI386" s="44"/>
      <c r="AJ386" s="44"/>
      <c r="BC386"/>
      <c r="BD386"/>
      <c r="BE386" s="742"/>
      <c r="BF386" s="742"/>
      <c r="BH386" s="44"/>
      <c r="BK386" s="44"/>
      <c r="BL386" s="44"/>
      <c r="BO386" s="44"/>
      <c r="BP386" s="44"/>
      <c r="BQ386" s="44"/>
      <c r="CA386" s="62"/>
      <c r="CF386" s="742">
        <v>0</v>
      </c>
      <c r="CG386" s="742">
        <v>0</v>
      </c>
      <c r="CH386" s="742">
        <v>0</v>
      </c>
      <c r="CI386" s="742">
        <v>0</v>
      </c>
      <c r="CJ386" s="742">
        <v>0</v>
      </c>
      <c r="CK386" s="742">
        <v>0</v>
      </c>
    </row>
    <row r="387" spans="2:89">
      <c r="B387" s="61"/>
      <c r="G387" s="44"/>
      <c r="H387" s="44"/>
      <c r="P387" s="44"/>
      <c r="X387" s="44"/>
      <c r="Y387" s="44"/>
      <c r="AH387" s="44"/>
      <c r="AI387" s="44"/>
      <c r="AJ387" s="44"/>
      <c r="AM387" s="44"/>
      <c r="AN387" s="44"/>
      <c r="AO387" s="44"/>
      <c r="AP387" s="44"/>
      <c r="AQ387" s="44"/>
      <c r="AR387" s="44"/>
      <c r="AS387" s="44"/>
      <c r="BA387" s="44"/>
      <c r="BC387" s="44"/>
      <c r="BD387" s="44"/>
      <c r="BE387" s="742"/>
      <c r="BF387" s="745"/>
      <c r="BJ387" s="44"/>
      <c r="BQ387" s="44"/>
      <c r="BR387" s="44"/>
      <c r="BS387" s="44"/>
      <c r="BT387" s="44"/>
      <c r="BU387" s="44"/>
      <c r="CA387" s="62"/>
      <c r="CF387" s="742">
        <v>0</v>
      </c>
      <c r="CG387" s="742">
        <v>0</v>
      </c>
      <c r="CH387" s="742">
        <v>0</v>
      </c>
      <c r="CI387" s="742">
        <v>0</v>
      </c>
      <c r="CJ387" s="742">
        <v>0</v>
      </c>
      <c r="CK387" s="742">
        <v>0</v>
      </c>
    </row>
    <row r="388" spans="2:89">
      <c r="B388" s="61"/>
      <c r="P388" s="44"/>
      <c r="X388" s="44"/>
      <c r="Y388" s="44"/>
      <c r="AG388" s="44"/>
      <c r="AH388" s="44"/>
      <c r="AM388" s="44"/>
      <c r="AN388" s="44"/>
      <c r="AO388" s="44"/>
      <c r="AP388" s="44"/>
      <c r="AQ388" s="44"/>
      <c r="AR388" s="44"/>
      <c r="AS388" s="44"/>
      <c r="BA388" s="44"/>
      <c r="BC388"/>
      <c r="BD388"/>
      <c r="BE388" s="742"/>
      <c r="BF388" s="742"/>
      <c r="BH388" s="44"/>
      <c r="BO388" s="44"/>
      <c r="BQ388" s="44"/>
      <c r="BR388" s="44"/>
      <c r="BT388" s="44"/>
      <c r="CA388" s="62"/>
      <c r="CF388" s="742">
        <v>0</v>
      </c>
      <c r="CG388" s="742">
        <v>0</v>
      </c>
      <c r="CH388" s="742">
        <v>0</v>
      </c>
      <c r="CI388" s="742">
        <v>0</v>
      </c>
      <c r="CJ388" s="742">
        <v>0</v>
      </c>
      <c r="CK388" s="742">
        <v>0</v>
      </c>
    </row>
    <row r="389" spans="2:89">
      <c r="B389" s="61"/>
      <c r="X389" s="44"/>
      <c r="Y389" s="44"/>
      <c r="AM389" s="44"/>
      <c r="AN389" s="44"/>
      <c r="AO389" s="44"/>
      <c r="AP389" s="44"/>
      <c r="AQ389" s="44"/>
      <c r="AR389" s="44"/>
      <c r="AS389" s="44"/>
      <c r="BC389"/>
      <c r="BD389"/>
      <c r="BE389" s="742"/>
      <c r="BF389" s="742"/>
      <c r="CA389" s="62"/>
      <c r="CF389" s="742">
        <v>0</v>
      </c>
      <c r="CG389" s="742">
        <v>0</v>
      </c>
      <c r="CH389" s="742">
        <v>0</v>
      </c>
      <c r="CI389" s="742">
        <v>0</v>
      </c>
      <c r="CJ389" s="742">
        <v>0</v>
      </c>
      <c r="CK389" s="742">
        <v>0</v>
      </c>
    </row>
    <row r="390" spans="2:89">
      <c r="B390" s="61"/>
      <c r="BC390"/>
      <c r="BD390"/>
      <c r="BE390" s="742"/>
      <c r="BF390" s="742"/>
      <c r="CA390" s="62"/>
      <c r="CF390" s="742">
        <v>0</v>
      </c>
      <c r="CG390" s="742">
        <v>0</v>
      </c>
      <c r="CH390" s="742">
        <v>0</v>
      </c>
      <c r="CI390" s="742">
        <v>0</v>
      </c>
      <c r="CJ390" s="742">
        <v>0</v>
      </c>
      <c r="CK390" s="742">
        <v>0</v>
      </c>
    </row>
    <row r="391" spans="2:89">
      <c r="B391" s="61"/>
      <c r="G391" s="44"/>
      <c r="H391" s="44"/>
      <c r="P391" s="44"/>
      <c r="AG391" s="44"/>
      <c r="AH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C391" s="44"/>
      <c r="BD391" s="44"/>
      <c r="BE391" s="742"/>
      <c r="BF391" s="742"/>
      <c r="BH391" s="44"/>
      <c r="BR391" s="44"/>
      <c r="BT391" s="44"/>
      <c r="BU391" s="44"/>
      <c r="CA391" s="62"/>
      <c r="CF391" s="742">
        <v>0</v>
      </c>
      <c r="CG391" s="742">
        <v>0</v>
      </c>
      <c r="CH391" s="742">
        <v>0</v>
      </c>
      <c r="CI391" s="742">
        <v>0</v>
      </c>
      <c r="CJ391" s="742">
        <v>0</v>
      </c>
      <c r="CK391" s="742">
        <v>0</v>
      </c>
    </row>
    <row r="392" spans="2:89">
      <c r="B392" s="61"/>
      <c r="G392" s="44"/>
      <c r="H392" s="44"/>
      <c r="I392" s="44"/>
      <c r="J392" s="44"/>
      <c r="K392" s="44"/>
      <c r="L392" s="44"/>
      <c r="M392" s="44"/>
      <c r="N392" s="44"/>
      <c r="O392" s="44"/>
      <c r="Q392" s="44"/>
      <c r="R392" s="44"/>
      <c r="S392" s="44"/>
      <c r="U392" s="44"/>
      <c r="V392" s="44"/>
      <c r="Z392" s="44"/>
      <c r="AB392" s="44"/>
      <c r="AC392" s="44"/>
      <c r="AD392" s="44"/>
      <c r="AE392" s="44"/>
      <c r="AF392" s="44"/>
      <c r="AG392" s="44"/>
      <c r="AH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C392" s="44"/>
      <c r="BD392" s="44"/>
      <c r="BE392" s="742"/>
      <c r="BF392" s="742"/>
      <c r="BM392" s="44"/>
      <c r="BN392" s="44"/>
      <c r="BO392" s="44"/>
      <c r="BP392" s="44"/>
      <c r="BR392" s="44"/>
      <c r="BT392" s="44"/>
      <c r="BU392" s="44"/>
      <c r="CA392" s="62"/>
      <c r="CF392" s="742">
        <v>0</v>
      </c>
      <c r="CG392" s="742">
        <v>0</v>
      </c>
      <c r="CH392" s="742">
        <v>0</v>
      </c>
      <c r="CI392" s="742">
        <v>0</v>
      </c>
      <c r="CJ392" s="742">
        <v>0</v>
      </c>
      <c r="CK392" s="742">
        <v>0</v>
      </c>
    </row>
    <row r="393" spans="2:89">
      <c r="B393" s="61"/>
      <c r="G393" s="44"/>
      <c r="H393" s="44"/>
      <c r="Z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C393" s="44"/>
      <c r="BD393" s="44"/>
      <c r="BE393" s="742"/>
      <c r="BF393" s="742"/>
      <c r="BK393" s="44"/>
      <c r="BL393" s="44"/>
      <c r="BM393" s="44"/>
      <c r="BN393" s="44"/>
      <c r="BO393" s="44"/>
      <c r="BP393" s="44"/>
      <c r="BR393" s="44"/>
      <c r="BU393" s="44"/>
      <c r="CA393" s="62"/>
      <c r="CF393" s="742">
        <v>0</v>
      </c>
      <c r="CG393" s="742">
        <v>0</v>
      </c>
      <c r="CH393" s="742">
        <v>0</v>
      </c>
      <c r="CI393" s="742">
        <v>0</v>
      </c>
      <c r="CJ393" s="742">
        <v>0</v>
      </c>
      <c r="CK393" s="742">
        <v>0</v>
      </c>
    </row>
    <row r="394" spans="2:89">
      <c r="B394" s="61"/>
      <c r="G394" s="44"/>
      <c r="H394" s="44"/>
      <c r="U394" s="44"/>
      <c r="V394" s="44"/>
      <c r="Z394" s="44"/>
      <c r="AB394" s="44"/>
      <c r="AC394" s="44"/>
      <c r="AD394" s="44"/>
      <c r="AE394" s="44"/>
      <c r="AF394" s="44"/>
      <c r="AH394" s="44"/>
      <c r="AI394" s="44"/>
      <c r="AJ394" s="44"/>
      <c r="AK394" s="44"/>
      <c r="AL394" s="44"/>
      <c r="BA394" s="44"/>
      <c r="BC394"/>
      <c r="BD394"/>
      <c r="BE394" s="742"/>
      <c r="BF394" s="742"/>
      <c r="BK394" s="44"/>
      <c r="BL394" s="44"/>
      <c r="BM394" s="44"/>
      <c r="BN394" s="44"/>
      <c r="BR394" s="44"/>
      <c r="CA394" s="62"/>
      <c r="CF394" s="742">
        <v>0</v>
      </c>
      <c r="CG394" s="742">
        <v>0</v>
      </c>
      <c r="CH394" s="742">
        <v>0</v>
      </c>
      <c r="CI394" s="742">
        <v>0</v>
      </c>
      <c r="CJ394" s="742">
        <v>0</v>
      </c>
      <c r="CK394" s="742">
        <v>0</v>
      </c>
    </row>
    <row r="395" spans="2:89">
      <c r="B395" s="61"/>
      <c r="BC395"/>
      <c r="BD395"/>
      <c r="BE395" s="742"/>
      <c r="BF395" s="742"/>
      <c r="CA395" s="62"/>
      <c r="CF395" s="742">
        <v>0</v>
      </c>
      <c r="CG395" s="742">
        <v>0</v>
      </c>
      <c r="CH395" s="742">
        <v>0</v>
      </c>
      <c r="CI395" s="742">
        <v>0</v>
      </c>
      <c r="CJ395" s="742">
        <v>0</v>
      </c>
      <c r="CK395" s="742">
        <v>0</v>
      </c>
    </row>
    <row r="396" spans="2:89">
      <c r="B396" s="61"/>
      <c r="BC396"/>
      <c r="BD396"/>
      <c r="BE396" s="742"/>
      <c r="BF396" s="742"/>
      <c r="CA396" s="62"/>
      <c r="CF396" s="742">
        <v>0.34488419633974499</v>
      </c>
      <c r="CG396" s="742">
        <v>1.5091001925124199E-2</v>
      </c>
      <c r="CH396" s="742">
        <v>0.99905875399808597</v>
      </c>
      <c r="CI396" s="742">
        <v>0.99840161950316897</v>
      </c>
      <c r="CJ396" s="742">
        <v>4.9354113515430398E-2</v>
      </c>
      <c r="CK396" s="742">
        <v>0.186721674595731</v>
      </c>
    </row>
    <row r="397" spans="2:89">
      <c r="B397" s="61"/>
      <c r="BC397"/>
      <c r="BD397"/>
      <c r="BE397" s="742"/>
      <c r="BF397" s="742"/>
      <c r="CA397" s="62"/>
      <c r="CF397" s="742">
        <v>1.3143824084276E-2</v>
      </c>
      <c r="CG397" s="742">
        <v>1.97695901422584E-2</v>
      </c>
      <c r="CH397" s="745">
        <v>9.5107151665531096E-7</v>
      </c>
      <c r="CI397" s="742">
        <v>0</v>
      </c>
      <c r="CJ397" s="745">
        <v>3.6202412133153902E-6</v>
      </c>
      <c r="CK397" s="742">
        <v>4.9763089302047002E-2</v>
      </c>
    </row>
    <row r="398" spans="2:89">
      <c r="B398" s="61"/>
      <c r="BC398"/>
      <c r="BD398"/>
      <c r="BE398" s="742"/>
      <c r="BF398" s="742"/>
      <c r="CA398" s="62"/>
      <c r="CF398" s="753">
        <v>0.48261165596568301</v>
      </c>
      <c r="CG398" s="753">
        <v>0.72544313298910101</v>
      </c>
      <c r="CH398" s="753">
        <v>9.2686447547910195E-4</v>
      </c>
      <c r="CI398" s="753">
        <v>0</v>
      </c>
      <c r="CJ398" s="753">
        <v>0.95061755031955997</v>
      </c>
      <c r="CK398" s="753">
        <v>0.15975273254535399</v>
      </c>
    </row>
    <row r="399" spans="2:89">
      <c r="B399" s="61"/>
      <c r="BC399"/>
      <c r="BD399"/>
      <c r="BE399" s="742"/>
      <c r="BF399" s="742"/>
      <c r="BH399" s="44"/>
      <c r="BI399" s="44"/>
      <c r="CA399" s="62"/>
      <c r="CF399" s="742">
        <v>0</v>
      </c>
      <c r="CG399" s="742">
        <v>0</v>
      </c>
      <c r="CH399" s="742">
        <v>0</v>
      </c>
      <c r="CI399" s="742">
        <v>0</v>
      </c>
      <c r="CJ399" s="742">
        <v>0</v>
      </c>
      <c r="CK399" s="742">
        <v>0</v>
      </c>
    </row>
    <row r="400" spans="2:89">
      <c r="B400" s="61"/>
      <c r="BC400"/>
      <c r="BD400"/>
      <c r="BE400" s="742"/>
      <c r="BF400" s="745"/>
      <c r="BG400" s="44"/>
      <c r="CA400" s="62"/>
      <c r="CF400" s="742">
        <v>0.15936032361029501</v>
      </c>
      <c r="CG400" s="742">
        <v>0.239696274943517</v>
      </c>
      <c r="CH400" s="745">
        <v>5.8885922173694604E-6</v>
      </c>
      <c r="CI400" s="742">
        <v>0</v>
      </c>
      <c r="CJ400" s="745">
        <v>2.4710514933480901E-5</v>
      </c>
      <c r="CK400" s="742">
        <v>0.60338589921429198</v>
      </c>
    </row>
    <row r="401" spans="1:89" ht="17.25" thickBot="1">
      <c r="B401" s="74"/>
      <c r="C401" s="75"/>
      <c r="D401" s="75"/>
      <c r="E401" s="75"/>
      <c r="F401" s="763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  <c r="AF401" s="75"/>
      <c r="AG401" s="75"/>
      <c r="AH401" s="75"/>
      <c r="AI401" s="75"/>
      <c r="AJ401" s="75"/>
      <c r="AK401" s="75"/>
      <c r="AL401" s="75"/>
      <c r="AM401" s="75"/>
      <c r="AN401" s="75"/>
      <c r="AO401" s="75"/>
      <c r="AP401" s="75"/>
      <c r="AQ401" s="75"/>
      <c r="AR401" s="75"/>
      <c r="AS401" s="75"/>
      <c r="AT401" s="75"/>
      <c r="AU401" s="75"/>
      <c r="AV401" s="75"/>
      <c r="AW401" s="75"/>
      <c r="AX401" s="75"/>
      <c r="AY401" s="75"/>
      <c r="AZ401" s="75"/>
      <c r="BA401" s="75"/>
      <c r="BB401" s="75"/>
      <c r="BC401" s="75"/>
      <c r="BD401" s="75"/>
      <c r="BE401" s="746"/>
      <c r="BF401" s="746"/>
      <c r="BG401" s="75"/>
      <c r="BH401" s="75"/>
      <c r="BI401" s="75"/>
      <c r="BJ401" s="75"/>
      <c r="BK401" s="75"/>
      <c r="BL401" s="75"/>
      <c r="BM401" s="75"/>
      <c r="BN401" s="75"/>
      <c r="BO401" s="75"/>
      <c r="BP401" s="75"/>
      <c r="BQ401" s="75"/>
      <c r="BR401" s="75"/>
      <c r="BS401" s="75"/>
      <c r="BT401" s="75"/>
      <c r="CA401" s="76"/>
      <c r="CF401" s="746">
        <v>38473851.735060602</v>
      </c>
      <c r="CG401" s="746">
        <v>5082607.7102057096</v>
      </c>
      <c r="CH401" s="746">
        <v>3977.51908561766</v>
      </c>
      <c r="CI401" s="746">
        <v>741.74064276946604</v>
      </c>
      <c r="CJ401" s="746">
        <v>1935125.9721743299</v>
      </c>
      <c r="CK401" s="746">
        <v>3301049.7859691498</v>
      </c>
    </row>
    <row r="406" spans="1:89">
      <c r="A406" s="311" t="s">
        <v>838</v>
      </c>
    </row>
    <row r="444" spans="2:93" ht="17.25" thickBot="1"/>
    <row r="445" spans="2:93">
      <c r="B445" s="338"/>
      <c r="C445" s="170" t="s">
        <v>76</v>
      </c>
      <c r="D445" s="170">
        <v>1</v>
      </c>
      <c r="E445" s="170">
        <v>2</v>
      </c>
      <c r="F445" s="170">
        <v>3</v>
      </c>
      <c r="G445" s="170">
        <v>4</v>
      </c>
      <c r="H445" s="170">
        <v>5</v>
      </c>
      <c r="I445" s="170">
        <v>6</v>
      </c>
      <c r="J445" s="170">
        <v>7</v>
      </c>
      <c r="K445" s="170">
        <v>8</v>
      </c>
      <c r="L445" s="170">
        <v>9</v>
      </c>
      <c r="M445" s="170">
        <v>10</v>
      </c>
      <c r="N445" s="170">
        <v>11</v>
      </c>
      <c r="O445" s="170">
        <v>12</v>
      </c>
      <c r="P445" s="170">
        <v>13</v>
      </c>
      <c r="Q445" s="170">
        <v>14</v>
      </c>
      <c r="R445" s="170">
        <v>15</v>
      </c>
      <c r="S445" s="170">
        <v>16</v>
      </c>
      <c r="T445" s="170">
        <v>17</v>
      </c>
      <c r="U445" s="170">
        <v>18</v>
      </c>
      <c r="X445" s="170"/>
      <c r="Y445" s="170"/>
      <c r="Z445" s="170"/>
      <c r="AA445" s="170"/>
      <c r="AB445" s="170"/>
      <c r="AC445" s="170"/>
      <c r="AD445" s="170"/>
      <c r="AE445" s="170"/>
      <c r="AF445" s="170"/>
      <c r="AG445" s="170"/>
      <c r="AH445" s="170"/>
      <c r="AI445" s="170"/>
      <c r="AJ445" s="170"/>
      <c r="AK445" s="170"/>
      <c r="AL445" s="170"/>
      <c r="AM445" s="170"/>
      <c r="AN445" s="170"/>
      <c r="AO445" s="170"/>
      <c r="AP445" s="170"/>
      <c r="AQ445" s="170"/>
      <c r="AR445" s="170"/>
      <c r="AS445" s="170"/>
      <c r="AT445" s="170"/>
      <c r="AU445" s="170"/>
      <c r="AV445" s="170"/>
      <c r="AW445" s="170"/>
      <c r="AX445" s="170"/>
      <c r="AY445" s="170"/>
      <c r="AZ445" s="170"/>
      <c r="BA445" s="170"/>
      <c r="BB445" s="170"/>
      <c r="BC445" s="170"/>
      <c r="BD445" s="170"/>
      <c r="BE445" s="170"/>
      <c r="BF445" s="518"/>
      <c r="BG445" s="518"/>
      <c r="BH445" s="170"/>
      <c r="BI445" s="170"/>
      <c r="BJ445" s="170"/>
      <c r="BK445" s="170"/>
      <c r="BL445" s="170"/>
      <c r="BM445" s="170"/>
      <c r="BN445" s="170"/>
      <c r="BO445" s="170"/>
      <c r="BP445" s="170"/>
      <c r="BQ445" s="170"/>
      <c r="BR445" s="170"/>
      <c r="BS445" s="170"/>
      <c r="BT445" s="170"/>
      <c r="CA445" s="339"/>
      <c r="CJ445" s="743">
        <v>49</v>
      </c>
      <c r="CK445" s="743">
        <v>50</v>
      </c>
      <c r="CL445" s="743" t="s">
        <v>1074</v>
      </c>
      <c r="CM445" s="743">
        <v>52</v>
      </c>
      <c r="CN445" s="743" t="s">
        <v>1075</v>
      </c>
      <c r="CO445" s="743">
        <v>54</v>
      </c>
    </row>
    <row r="446" spans="2:93">
      <c r="B446" s="61" t="s">
        <v>90</v>
      </c>
      <c r="C446" t="s">
        <v>91</v>
      </c>
      <c r="D446" s="897">
        <v>30</v>
      </c>
      <c r="E446" s="897">
        <v>30</v>
      </c>
      <c r="F446" s="897">
        <v>30</v>
      </c>
      <c r="G446" s="897">
        <v>30</v>
      </c>
      <c r="H446" s="897">
        <v>35</v>
      </c>
      <c r="I446" s="897">
        <v>20</v>
      </c>
      <c r="J446" s="897">
        <v>-60</v>
      </c>
      <c r="K446" s="897">
        <v>-102.79897365517699</v>
      </c>
      <c r="L446" s="897">
        <v>-140</v>
      </c>
      <c r="M446" s="897">
        <v>-140</v>
      </c>
      <c r="N446" s="897">
        <v>-125.038566929968</v>
      </c>
      <c r="O446" s="897">
        <v>35</v>
      </c>
      <c r="P446" s="897">
        <v>250.42401520695699</v>
      </c>
      <c r="Q446" s="897">
        <v>-80.639381795071998</v>
      </c>
      <c r="R446" s="897">
        <v>-104.02463351207599</v>
      </c>
      <c r="S446" s="897">
        <v>30</v>
      </c>
      <c r="T446" s="897">
        <v>70.006146372478995</v>
      </c>
      <c r="U446" s="897">
        <v>454.88959497355597</v>
      </c>
      <c r="BC446"/>
      <c r="BD446"/>
      <c r="BF446" s="519"/>
      <c r="BG446" s="519"/>
      <c r="CA446" s="62"/>
      <c r="CJ446" s="742"/>
      <c r="CK446" s="742"/>
      <c r="CL446" s="742"/>
      <c r="CM446" s="742"/>
      <c r="CN446" s="742"/>
      <c r="CO446" s="742"/>
    </row>
    <row r="447" spans="2:93">
      <c r="B447" s="61" t="s">
        <v>92</v>
      </c>
      <c r="C447" t="s">
        <v>93</v>
      </c>
      <c r="D447" s="897">
        <v>1.0129999999999999</v>
      </c>
      <c r="E447" s="897">
        <v>1.0129999999999999</v>
      </c>
      <c r="F447" s="897">
        <v>1.0129999999999999</v>
      </c>
      <c r="G447" s="897">
        <v>1.0129999999999999</v>
      </c>
      <c r="H447" s="897">
        <v>3.5</v>
      </c>
      <c r="I447" s="897">
        <v>30</v>
      </c>
      <c r="J447" s="897">
        <v>30</v>
      </c>
      <c r="K447" s="897">
        <v>30</v>
      </c>
      <c r="L447" s="897">
        <v>30</v>
      </c>
      <c r="M447" s="897">
        <v>30</v>
      </c>
      <c r="N447" s="897">
        <v>10</v>
      </c>
      <c r="O447" s="897">
        <v>3.5</v>
      </c>
      <c r="P447" s="897">
        <v>30</v>
      </c>
      <c r="Q447" s="897">
        <v>1.0129999999999999</v>
      </c>
      <c r="R447" s="897">
        <v>1.0129999999999999</v>
      </c>
      <c r="S447" s="897">
        <v>30</v>
      </c>
      <c r="T447" s="897">
        <v>1</v>
      </c>
      <c r="U447" s="897">
        <v>100</v>
      </c>
      <c r="BC447"/>
      <c r="BD447"/>
      <c r="BF447" s="519"/>
      <c r="BG447" s="519"/>
      <c r="CA447" s="62"/>
      <c r="CJ447" s="742" t="s">
        <v>566</v>
      </c>
      <c r="CK447" s="742" t="s">
        <v>568</v>
      </c>
      <c r="CL447" s="742" t="s">
        <v>568</v>
      </c>
      <c r="CM447" s="742"/>
      <c r="CN447" s="742" t="s">
        <v>1076</v>
      </c>
      <c r="CO447" s="742" t="s">
        <v>1077</v>
      </c>
    </row>
    <row r="448" spans="2:93">
      <c r="B448" t="s">
        <v>118</v>
      </c>
      <c r="C448" t="s">
        <v>119</v>
      </c>
      <c r="D448" s="932">
        <v>211552.667568</v>
      </c>
      <c r="E448" s="932">
        <v>7.2571680000000305E-8</v>
      </c>
      <c r="F448" s="932">
        <v>92046.6466180883</v>
      </c>
      <c r="G448" s="932">
        <v>374557.70028767001</v>
      </c>
      <c r="H448" s="932">
        <v>838225.47314596595</v>
      </c>
      <c r="I448" s="932">
        <v>833708.67155422899</v>
      </c>
      <c r="J448" s="932">
        <v>37647.586348885801</v>
      </c>
      <c r="K448" s="932">
        <v>801700.74425589805</v>
      </c>
      <c r="L448" s="932">
        <v>420879.540485512</v>
      </c>
      <c r="M448" s="932">
        <v>380821.20377038902</v>
      </c>
      <c r="N448" s="932">
        <v>295490.61651939101</v>
      </c>
      <c r="O448" s="932">
        <v>6081.5510732254297</v>
      </c>
      <c r="P448" s="932">
        <v>30380.708346108899</v>
      </c>
      <c r="Q448" s="932">
        <v>11783.993089783</v>
      </c>
      <c r="R448" s="932">
        <v>113604.93087618399</v>
      </c>
      <c r="S448" s="932">
        <v>33306.628693703198</v>
      </c>
      <c r="T448" s="932">
        <v>464263.99604782602</v>
      </c>
      <c r="U448" s="932">
        <v>364013.87379294599</v>
      </c>
      <c r="BC448"/>
      <c r="BD448"/>
      <c r="BF448" s="752"/>
      <c r="BG448" s="752"/>
      <c r="CA448" s="62"/>
      <c r="CJ448" s="742" t="s">
        <v>928</v>
      </c>
      <c r="CK448" s="742" t="s">
        <v>1077</v>
      </c>
      <c r="CL448" s="742"/>
      <c r="CM448" s="742" t="s">
        <v>1072</v>
      </c>
      <c r="CN448" s="742"/>
      <c r="CO448" s="742"/>
    </row>
    <row r="449" spans="2:93">
      <c r="B449" s="43" t="s">
        <v>115</v>
      </c>
      <c r="C449" t="s">
        <v>1259</v>
      </c>
      <c r="D449" s="933">
        <v>13186.8</v>
      </c>
      <c r="E449" s="933">
        <v>3.5999999999999998E-8</v>
      </c>
      <c r="F449" s="933">
        <v>5737.5817264665302</v>
      </c>
      <c r="G449" s="933">
        <v>11705.466721991699</v>
      </c>
      <c r="H449" s="933">
        <v>109274.40548013699</v>
      </c>
      <c r="I449" s="933">
        <v>109235.719992278</v>
      </c>
      <c r="J449" s="933">
        <v>563.72416530742703</v>
      </c>
      <c r="K449" s="933">
        <v>108830.512105416</v>
      </c>
      <c r="L449" s="933">
        <v>23310.440585371402</v>
      </c>
      <c r="M449" s="933">
        <v>85520.071520044497</v>
      </c>
      <c r="N449" s="933">
        <v>18961.932737870298</v>
      </c>
      <c r="O449" s="933">
        <v>48.834528254410301</v>
      </c>
      <c r="P449" s="933">
        <v>386.921280088559</v>
      </c>
      <c r="Q449" s="933">
        <v>298.82542466081998</v>
      </c>
      <c r="R449" s="933">
        <v>4049.6824228403102</v>
      </c>
      <c r="S449" s="933">
        <v>15451.253184409799</v>
      </c>
      <c r="T449" s="933">
        <v>17635.972130205799</v>
      </c>
      <c r="U449" s="933">
        <v>8421.7166748992804</v>
      </c>
      <c r="BC449"/>
      <c r="BD449"/>
      <c r="BF449" s="519"/>
      <c r="BG449" s="519"/>
      <c r="CA449" s="62"/>
      <c r="CJ449" s="742" t="s">
        <v>83</v>
      </c>
      <c r="CK449" s="742" t="s">
        <v>83</v>
      </c>
      <c r="CL449" s="742" t="s">
        <v>83</v>
      </c>
      <c r="CM449" s="742" t="s">
        <v>83</v>
      </c>
      <c r="CN449" s="742" t="s">
        <v>83</v>
      </c>
      <c r="CO449" s="742" t="s">
        <v>83</v>
      </c>
    </row>
    <row r="450" spans="2:93">
      <c r="B450" t="s">
        <v>132</v>
      </c>
      <c r="C450" t="s">
        <v>1259</v>
      </c>
      <c r="D450" s="932">
        <v>0</v>
      </c>
      <c r="E450" s="932">
        <v>3.5999999999999998E-8</v>
      </c>
      <c r="F450" s="932">
        <v>0</v>
      </c>
      <c r="G450" s="932">
        <v>0</v>
      </c>
      <c r="H450" s="932">
        <v>71381.577488219904</v>
      </c>
      <c r="I450" s="932">
        <v>71376.372984169095</v>
      </c>
      <c r="J450" s="932">
        <v>3.5975552359692098</v>
      </c>
      <c r="K450" s="932">
        <v>71376.225276653597</v>
      </c>
      <c r="L450" s="932">
        <v>621.19281374490595</v>
      </c>
      <c r="M450" s="932">
        <v>70755.032462908697</v>
      </c>
      <c r="N450" s="932">
        <v>621.19281374490697</v>
      </c>
      <c r="O450" s="932">
        <v>4.0536084517640798E-2</v>
      </c>
      <c r="P450" s="932">
        <v>9.4867446238947503E-9</v>
      </c>
      <c r="Q450" s="932">
        <v>0</v>
      </c>
      <c r="R450" s="932">
        <v>0</v>
      </c>
      <c r="S450" s="932">
        <v>15297.3517876405</v>
      </c>
      <c r="T450" s="932">
        <v>0</v>
      </c>
      <c r="U450" s="932">
        <v>0</v>
      </c>
      <c r="Z450" s="44"/>
      <c r="BC450"/>
      <c r="BD450"/>
      <c r="BF450" s="519"/>
      <c r="BG450" s="519"/>
      <c r="CA450" s="62"/>
      <c r="CJ450" s="742"/>
      <c r="CK450" s="742"/>
      <c r="CL450" s="742"/>
      <c r="CM450" s="742"/>
      <c r="CN450" s="742"/>
      <c r="CO450" s="742"/>
    </row>
    <row r="451" spans="2:93">
      <c r="B451" t="s">
        <v>131</v>
      </c>
      <c r="C451" t="s">
        <v>1259</v>
      </c>
      <c r="D451" s="932">
        <v>13186.8</v>
      </c>
      <c r="E451" s="932">
        <v>0</v>
      </c>
      <c r="F451" s="932">
        <v>5737.5817264665302</v>
      </c>
      <c r="G451" s="932">
        <v>0</v>
      </c>
      <c r="H451" s="932">
        <v>32998.882924175501</v>
      </c>
      <c r="I451" s="932">
        <v>32996.713552728201</v>
      </c>
      <c r="J451" s="932">
        <v>32.039673620634801</v>
      </c>
      <c r="K451" s="932">
        <v>32996.304864790502</v>
      </c>
      <c r="L451" s="932">
        <v>18340.569266560098</v>
      </c>
      <c r="M451" s="932">
        <v>14655.7355982303</v>
      </c>
      <c r="N451" s="932">
        <v>18340.550304902201</v>
      </c>
      <c r="O451" s="932">
        <v>0.12212176964791099</v>
      </c>
      <c r="P451" s="932">
        <v>1.9181913631303802E-6</v>
      </c>
      <c r="Q451" s="932">
        <v>1.9935859374012101E-58</v>
      </c>
      <c r="R451" s="932">
        <v>1.8961657868091401E-2</v>
      </c>
      <c r="S451" s="932">
        <v>153.90139676928601</v>
      </c>
      <c r="T451" s="932">
        <v>0</v>
      </c>
      <c r="U451" s="932">
        <v>0</v>
      </c>
      <c r="BC451"/>
      <c r="BD451"/>
      <c r="BF451" s="519"/>
      <c r="BG451" s="519"/>
      <c r="CA451" s="62"/>
      <c r="CJ451" s="742"/>
      <c r="CK451" s="742"/>
      <c r="CL451" s="742"/>
      <c r="CM451" s="742"/>
      <c r="CN451" s="742"/>
      <c r="CO451" s="742"/>
    </row>
    <row r="452" spans="2:93">
      <c r="B452" t="s">
        <v>133</v>
      </c>
      <c r="C452" t="s">
        <v>1259</v>
      </c>
      <c r="D452" s="932">
        <v>0</v>
      </c>
      <c r="E452" s="932">
        <v>0</v>
      </c>
      <c r="F452" s="932">
        <v>0</v>
      </c>
      <c r="G452" s="932">
        <v>0</v>
      </c>
      <c r="H452" s="932">
        <v>192.03852786677501</v>
      </c>
      <c r="I452" s="932">
        <v>192.03594493950999</v>
      </c>
      <c r="J452" s="932">
        <v>3.3086997170914101</v>
      </c>
      <c r="K452" s="932">
        <v>192.01917070821199</v>
      </c>
      <c r="L452" s="932">
        <v>190.541922538677</v>
      </c>
      <c r="M452" s="932">
        <v>1.4772481695342701</v>
      </c>
      <c r="N452" s="932">
        <v>4.8079153583363604E-6</v>
      </c>
      <c r="O452" s="932">
        <v>4.9599848041078096E-3</v>
      </c>
      <c r="P452" s="932">
        <v>2.7357958554724801E-5</v>
      </c>
      <c r="Q452" s="932">
        <v>181.26603444681899</v>
      </c>
      <c r="R452" s="932">
        <v>9.2758832758380994</v>
      </c>
      <c r="S452" s="932">
        <v>0</v>
      </c>
      <c r="T452" s="932">
        <v>0</v>
      </c>
      <c r="U452" s="932">
        <v>0</v>
      </c>
      <c r="BC452"/>
      <c r="BD452"/>
      <c r="BF452" s="519"/>
      <c r="BG452" s="519"/>
      <c r="CA452" s="62"/>
      <c r="CJ452" s="742"/>
      <c r="CK452" s="742"/>
      <c r="CL452" s="742"/>
      <c r="CM452" s="742"/>
      <c r="CN452" s="742"/>
      <c r="CO452" s="742"/>
    </row>
    <row r="453" spans="2:93">
      <c r="B453" t="s">
        <v>134</v>
      </c>
      <c r="C453" t="s">
        <v>1259</v>
      </c>
      <c r="D453" s="932">
        <v>0</v>
      </c>
      <c r="E453" s="932">
        <v>0</v>
      </c>
      <c r="F453" s="932">
        <v>0</v>
      </c>
      <c r="G453" s="932">
        <v>0</v>
      </c>
      <c r="H453" s="932">
        <v>4141.5831246191501</v>
      </c>
      <c r="I453" s="932">
        <v>4141.4443663373404</v>
      </c>
      <c r="J453" s="932">
        <v>40.2595451773714</v>
      </c>
      <c r="K453" s="932">
        <v>4141.1988609953696</v>
      </c>
      <c r="L453" s="932">
        <v>4033.5190560548399</v>
      </c>
      <c r="M453" s="932">
        <v>107.679804940515</v>
      </c>
      <c r="N453" s="932">
        <v>0.18961375815798501</v>
      </c>
      <c r="O453" s="932">
        <v>7.1493703828746202E-2</v>
      </c>
      <c r="P453" s="932">
        <v>1.05417860140105E-4</v>
      </c>
      <c r="Q453" s="932">
        <v>4.0334023431901702</v>
      </c>
      <c r="R453" s="932">
        <v>4029.2960399666599</v>
      </c>
      <c r="S453" s="932">
        <v>0</v>
      </c>
      <c r="T453" s="932">
        <v>0</v>
      </c>
      <c r="U453" s="932">
        <v>0</v>
      </c>
      <c r="BC453"/>
      <c r="BD453"/>
      <c r="BF453" s="519"/>
      <c r="BG453" s="519"/>
      <c r="CA453" s="62"/>
      <c r="CJ453" s="742" t="s">
        <v>89</v>
      </c>
      <c r="CK453" s="742" t="s">
        <v>89</v>
      </c>
      <c r="CL453" s="742" t="s">
        <v>123</v>
      </c>
      <c r="CM453" s="742" t="s">
        <v>123</v>
      </c>
      <c r="CN453" s="742" t="s">
        <v>89</v>
      </c>
      <c r="CO453" s="742" t="s">
        <v>89</v>
      </c>
    </row>
    <row r="454" spans="2:93">
      <c r="B454" t="s">
        <v>135</v>
      </c>
      <c r="C454" t="s">
        <v>1259</v>
      </c>
      <c r="D454" s="932">
        <v>0</v>
      </c>
      <c r="E454" s="932">
        <v>0</v>
      </c>
      <c r="F454" s="932">
        <v>0</v>
      </c>
      <c r="G454" s="932">
        <v>0</v>
      </c>
      <c r="H454" s="932">
        <v>18.597544289859702</v>
      </c>
      <c r="I454" s="932">
        <v>18.597702687444201</v>
      </c>
      <c r="J454" s="932">
        <v>0.589914674477934</v>
      </c>
      <c r="K454" s="932">
        <v>18.595621205625498</v>
      </c>
      <c r="L454" s="932">
        <v>18.450687838098599</v>
      </c>
      <c r="M454" s="932">
        <v>0.14493336752691899</v>
      </c>
      <c r="N454" s="932">
        <v>6.5710124402787701E-7</v>
      </c>
      <c r="O454" s="932">
        <v>5.2740259342648997E-4</v>
      </c>
      <c r="P454" s="932">
        <v>3.38094962565139E-6</v>
      </c>
      <c r="Q454" s="932">
        <v>7.3591492407626804</v>
      </c>
      <c r="R454" s="932">
        <v>11.0915379399411</v>
      </c>
      <c r="S454" s="932">
        <v>0</v>
      </c>
      <c r="T454" s="932">
        <v>0</v>
      </c>
      <c r="U454" s="932">
        <v>0</v>
      </c>
      <c r="BC454"/>
      <c r="BD454"/>
      <c r="BF454" s="519"/>
      <c r="BG454" s="519"/>
      <c r="CA454" s="62"/>
      <c r="CJ454" s="742">
        <v>852.17768521884</v>
      </c>
      <c r="CK454" s="742">
        <v>25</v>
      </c>
      <c r="CL454" s="742">
        <v>25</v>
      </c>
      <c r="CM454" s="742">
        <v>40</v>
      </c>
      <c r="CN454" s="742">
        <v>62.916211515154998</v>
      </c>
      <c r="CO454" s="742">
        <v>71.859601299283995</v>
      </c>
    </row>
    <row r="455" spans="2:93">
      <c r="B455" t="s">
        <v>165</v>
      </c>
      <c r="C455" t="s">
        <v>1259</v>
      </c>
      <c r="D455" s="932">
        <v>0</v>
      </c>
      <c r="E455" s="932">
        <v>0</v>
      </c>
      <c r="F455" s="932">
        <v>0</v>
      </c>
      <c r="G455" s="932">
        <v>0</v>
      </c>
      <c r="H455" s="932">
        <v>0</v>
      </c>
      <c r="I455" s="932">
        <v>0</v>
      </c>
      <c r="J455" s="932">
        <v>0</v>
      </c>
      <c r="K455" s="932">
        <v>0</v>
      </c>
      <c r="L455" s="932">
        <v>0</v>
      </c>
      <c r="M455" s="932">
        <v>0</v>
      </c>
      <c r="N455" s="932">
        <v>0</v>
      </c>
      <c r="O455" s="932">
        <v>0</v>
      </c>
      <c r="P455" s="932">
        <v>0</v>
      </c>
      <c r="Q455" s="932">
        <v>0</v>
      </c>
      <c r="R455" s="932">
        <v>0</v>
      </c>
      <c r="S455" s="932">
        <v>0</v>
      </c>
      <c r="T455" s="932">
        <v>0</v>
      </c>
      <c r="U455" s="932">
        <v>0</v>
      </c>
      <c r="BC455"/>
      <c r="BD455"/>
      <c r="BF455" s="519"/>
      <c r="BG455" s="519"/>
      <c r="CA455" s="62"/>
      <c r="CJ455" s="742">
        <v>1.0129999999999999</v>
      </c>
      <c r="CK455" s="742">
        <v>1.0129999999999999</v>
      </c>
      <c r="CL455" s="742">
        <v>1.0129999999999999</v>
      </c>
      <c r="CM455" s="742">
        <v>1.01</v>
      </c>
      <c r="CN455" s="742">
        <v>1.9</v>
      </c>
      <c r="CO455" s="742">
        <v>1</v>
      </c>
    </row>
    <row r="456" spans="2:93">
      <c r="B456" t="s">
        <v>136</v>
      </c>
      <c r="C456" t="s">
        <v>1259</v>
      </c>
      <c r="D456" s="932">
        <v>0</v>
      </c>
      <c r="E456" s="932">
        <v>0</v>
      </c>
      <c r="F456" s="932">
        <v>0</v>
      </c>
      <c r="G456" s="932">
        <v>0</v>
      </c>
      <c r="H456" s="932">
        <v>378.20702755678201</v>
      </c>
      <c r="I456" s="932">
        <v>386.943196156493</v>
      </c>
      <c r="J456" s="932">
        <v>374.81678242993701</v>
      </c>
      <c r="K456" s="932">
        <v>3.2336651178594198</v>
      </c>
      <c r="L456" s="932">
        <v>3.2336648465459801</v>
      </c>
      <c r="M456" s="932">
        <v>2.7131341832184602E-7</v>
      </c>
      <c r="N456" s="932">
        <v>1.4391273449107699E-35</v>
      </c>
      <c r="O456" s="932">
        <v>2.7717322671256199</v>
      </c>
      <c r="P456" s="932">
        <v>372.17348355753097</v>
      </c>
      <c r="Q456" s="932">
        <v>3.2336648464008602</v>
      </c>
      <c r="R456" s="932">
        <v>2.3876608312381299E-179</v>
      </c>
      <c r="S456" s="932">
        <v>0</v>
      </c>
      <c r="T456" s="932">
        <v>0</v>
      </c>
      <c r="U456" s="932">
        <v>0</v>
      </c>
      <c r="BC456"/>
      <c r="BD456"/>
      <c r="BF456" s="519"/>
      <c r="BG456" s="519"/>
      <c r="CA456" s="62"/>
      <c r="CJ456" s="742">
        <v>1</v>
      </c>
      <c r="CK456" s="742">
        <v>1</v>
      </c>
      <c r="CL456" s="742">
        <v>0</v>
      </c>
      <c r="CM456" s="742">
        <v>0</v>
      </c>
      <c r="CN456" s="742">
        <v>1</v>
      </c>
      <c r="CO456" s="742">
        <v>1</v>
      </c>
    </row>
    <row r="457" spans="2:93">
      <c r="B457" t="s">
        <v>797</v>
      </c>
      <c r="C457" t="s">
        <v>1259</v>
      </c>
      <c r="D457" s="932">
        <v>0</v>
      </c>
      <c r="E457" s="932">
        <v>0</v>
      </c>
      <c r="F457" s="932">
        <v>0</v>
      </c>
      <c r="G457" s="932">
        <v>0</v>
      </c>
      <c r="H457" s="932">
        <v>12.5731862146156</v>
      </c>
      <c r="I457" s="932">
        <v>13.3864341487894</v>
      </c>
      <c r="J457" s="932">
        <v>12.2697514881496</v>
      </c>
      <c r="K457" s="932">
        <v>1.94663766979771E-2</v>
      </c>
      <c r="L457" s="932">
        <v>1.9466376232684199E-2</v>
      </c>
      <c r="M457" s="932">
        <v>4.6529290442862098E-10</v>
      </c>
      <c r="N457" s="932">
        <v>6.1870042176910296E-41</v>
      </c>
      <c r="O457" s="932">
        <v>0.29177277476761998</v>
      </c>
      <c r="P457" s="932">
        <v>12.2610073954454</v>
      </c>
      <c r="Q457" s="932">
        <v>1.9466376231810498E-2</v>
      </c>
      <c r="R457" s="932">
        <v>3.2511255815119799E-249</v>
      </c>
      <c r="S457" s="932">
        <v>0</v>
      </c>
      <c r="T457" s="932">
        <v>0</v>
      </c>
      <c r="U457" s="932">
        <v>0</v>
      </c>
      <c r="AC457" s="44"/>
      <c r="BC457"/>
      <c r="BD457"/>
      <c r="BF457" s="519"/>
      <c r="BG457" s="519"/>
      <c r="CA457" s="62"/>
      <c r="CJ457" s="742">
        <v>0</v>
      </c>
      <c r="CK457" s="742">
        <v>0</v>
      </c>
      <c r="CL457" s="742">
        <v>1</v>
      </c>
      <c r="CM457" s="742">
        <v>1</v>
      </c>
      <c r="CN457" s="742">
        <v>0</v>
      </c>
      <c r="CO457" s="742">
        <v>0</v>
      </c>
    </row>
    <row r="458" spans="2:93">
      <c r="B458" t="s">
        <v>137</v>
      </c>
      <c r="C458" t="s">
        <v>1259</v>
      </c>
      <c r="D458" s="932">
        <v>0</v>
      </c>
      <c r="E458" s="932">
        <v>0</v>
      </c>
      <c r="F458" s="932">
        <v>0</v>
      </c>
      <c r="G458" s="932">
        <v>0</v>
      </c>
      <c r="H458" s="932">
        <v>46.055791673917099</v>
      </c>
      <c r="I458" s="932">
        <v>5.2571011159748897</v>
      </c>
      <c r="J458" s="932">
        <v>0.54982356266019305</v>
      </c>
      <c r="K458" s="932">
        <v>1.0161594187897501E-6</v>
      </c>
      <c r="L458" s="932">
        <v>1.0161594187896899E-6</v>
      </c>
      <c r="M458" s="932">
        <v>5.2711382689607803E-20</v>
      </c>
      <c r="N458" s="932">
        <v>3.3482117975047299E-77</v>
      </c>
      <c r="O458" s="932">
        <v>45.504043479803698</v>
      </c>
      <c r="P458" s="932">
        <v>0.549822584699869</v>
      </c>
      <c r="Q458" s="932">
        <v>1.01615941874408E-6</v>
      </c>
      <c r="R458" s="932">
        <v>0</v>
      </c>
      <c r="S458" s="932">
        <v>0</v>
      </c>
      <c r="T458" s="932">
        <v>0</v>
      </c>
      <c r="U458" s="932">
        <v>0</v>
      </c>
      <c r="BC458"/>
      <c r="BD458"/>
      <c r="BF458" s="519"/>
      <c r="BG458" s="519"/>
      <c r="CA458" s="62"/>
      <c r="CJ458" s="742">
        <v>0</v>
      </c>
      <c r="CK458" s="742">
        <v>0</v>
      </c>
      <c r="CL458" s="742">
        <v>0</v>
      </c>
      <c r="CM458" s="742">
        <v>0</v>
      </c>
      <c r="CN458" s="742">
        <v>0</v>
      </c>
      <c r="CO458" s="742">
        <v>0</v>
      </c>
    </row>
    <row r="459" spans="2:93">
      <c r="B459" t="s">
        <v>91</v>
      </c>
      <c r="C459" t="s">
        <v>1259</v>
      </c>
      <c r="D459" s="932">
        <v>0</v>
      </c>
      <c r="E459" s="932">
        <v>0</v>
      </c>
      <c r="F459" s="932">
        <v>0</v>
      </c>
      <c r="G459" s="932">
        <v>0</v>
      </c>
      <c r="H459" s="932">
        <v>0</v>
      </c>
      <c r="I459" s="932">
        <v>0</v>
      </c>
      <c r="J459" s="932">
        <v>0</v>
      </c>
      <c r="K459" s="932">
        <v>0</v>
      </c>
      <c r="L459" s="932">
        <v>0</v>
      </c>
      <c r="M459" s="932">
        <v>0</v>
      </c>
      <c r="N459" s="932">
        <v>0</v>
      </c>
      <c r="O459" s="932">
        <v>0</v>
      </c>
      <c r="P459" s="932">
        <v>0</v>
      </c>
      <c r="Q459" s="932">
        <v>0</v>
      </c>
      <c r="R459" s="932">
        <v>0</v>
      </c>
      <c r="S459" s="932">
        <v>0</v>
      </c>
      <c r="T459" s="932">
        <v>0</v>
      </c>
      <c r="U459" s="932">
        <v>0</v>
      </c>
      <c r="BC459"/>
      <c r="BD459"/>
      <c r="BF459" s="519"/>
      <c r="BG459" s="519"/>
      <c r="CA459" s="62"/>
      <c r="CJ459" s="742">
        <v>1</v>
      </c>
      <c r="CK459" s="742">
        <v>1</v>
      </c>
      <c r="CL459" s="742">
        <v>0</v>
      </c>
      <c r="CM459" s="742">
        <v>0</v>
      </c>
      <c r="CN459" s="742">
        <v>1</v>
      </c>
      <c r="CO459" s="742">
        <v>1</v>
      </c>
    </row>
    <row r="460" spans="2:93">
      <c r="B460" t="s">
        <v>166</v>
      </c>
      <c r="C460" t="s">
        <v>1259</v>
      </c>
      <c r="D460" s="932">
        <v>0</v>
      </c>
      <c r="E460" s="932">
        <v>0</v>
      </c>
      <c r="F460" s="932">
        <v>0</v>
      </c>
      <c r="G460" s="932">
        <v>0</v>
      </c>
      <c r="H460" s="932">
        <v>0</v>
      </c>
      <c r="I460" s="932">
        <v>0</v>
      </c>
      <c r="J460" s="932">
        <v>0</v>
      </c>
      <c r="K460" s="932">
        <v>0</v>
      </c>
      <c r="L460" s="932">
        <v>0</v>
      </c>
      <c r="M460" s="932">
        <v>0</v>
      </c>
      <c r="N460" s="932">
        <v>0</v>
      </c>
      <c r="O460" s="932">
        <v>0</v>
      </c>
      <c r="P460" s="932">
        <v>0</v>
      </c>
      <c r="Q460" s="932">
        <v>0</v>
      </c>
      <c r="R460" s="932">
        <v>0</v>
      </c>
      <c r="S460" s="932">
        <v>0</v>
      </c>
      <c r="T460" s="932">
        <v>4884.8754123052304</v>
      </c>
      <c r="U460" s="932">
        <v>254.47222625589799</v>
      </c>
      <c r="Z460" s="44"/>
      <c r="AM460" s="44"/>
      <c r="BC460"/>
      <c r="BD460"/>
      <c r="BF460" s="519"/>
      <c r="BG460" s="519"/>
      <c r="CA460" s="62"/>
      <c r="CJ460" s="742">
        <v>0</v>
      </c>
      <c r="CK460" s="742">
        <v>0</v>
      </c>
      <c r="CL460" s="742">
        <v>1</v>
      </c>
      <c r="CM460" s="742">
        <v>1</v>
      </c>
      <c r="CN460" s="742">
        <v>0</v>
      </c>
      <c r="CO460" s="742">
        <v>0</v>
      </c>
    </row>
    <row r="461" spans="2:93">
      <c r="B461" t="s">
        <v>167</v>
      </c>
      <c r="C461" t="s">
        <v>1259</v>
      </c>
      <c r="D461" s="932">
        <v>0</v>
      </c>
      <c r="E461" s="932">
        <v>0</v>
      </c>
      <c r="F461" s="932">
        <v>0</v>
      </c>
      <c r="G461" s="932">
        <v>11704.6667219917</v>
      </c>
      <c r="H461" s="932">
        <v>0</v>
      </c>
      <c r="I461" s="932">
        <v>0</v>
      </c>
      <c r="J461" s="932">
        <v>0</v>
      </c>
      <c r="K461" s="932">
        <v>0</v>
      </c>
      <c r="L461" s="932">
        <v>0</v>
      </c>
      <c r="M461" s="932">
        <v>0</v>
      </c>
      <c r="N461" s="932">
        <v>0</v>
      </c>
      <c r="O461" s="932">
        <v>0</v>
      </c>
      <c r="P461" s="932">
        <v>0</v>
      </c>
      <c r="Q461" s="932">
        <v>0</v>
      </c>
      <c r="R461" s="932">
        <v>0</v>
      </c>
      <c r="S461" s="932">
        <v>0</v>
      </c>
      <c r="T461" s="932">
        <v>1139.4742428198499</v>
      </c>
      <c r="U461" s="932">
        <v>9.7151414945252104E-2</v>
      </c>
      <c r="BC461"/>
      <c r="BD461"/>
      <c r="BF461" s="519"/>
      <c r="BG461" s="519"/>
      <c r="CA461" s="62"/>
      <c r="CJ461" s="742">
        <v>0</v>
      </c>
      <c r="CK461" s="742">
        <v>0</v>
      </c>
      <c r="CL461" s="742">
        <v>0</v>
      </c>
      <c r="CM461" s="742">
        <v>0</v>
      </c>
      <c r="CN461" s="742">
        <v>0</v>
      </c>
      <c r="CO461" s="742">
        <v>0</v>
      </c>
    </row>
    <row r="462" spans="2:93">
      <c r="B462" t="s">
        <v>168</v>
      </c>
      <c r="C462" t="s">
        <v>1259</v>
      </c>
      <c r="D462" s="932">
        <v>0</v>
      </c>
      <c r="E462" s="932">
        <v>0</v>
      </c>
      <c r="F462" s="932">
        <v>0</v>
      </c>
      <c r="G462" s="932">
        <v>0</v>
      </c>
      <c r="H462" s="932">
        <v>0</v>
      </c>
      <c r="I462" s="932">
        <v>0</v>
      </c>
      <c r="J462" s="932">
        <v>0</v>
      </c>
      <c r="K462" s="932">
        <v>0</v>
      </c>
      <c r="L462" s="932">
        <v>0</v>
      </c>
      <c r="M462" s="932">
        <v>0</v>
      </c>
      <c r="N462" s="932">
        <v>0</v>
      </c>
      <c r="O462" s="932">
        <v>0</v>
      </c>
      <c r="P462" s="932">
        <v>0</v>
      </c>
      <c r="Q462" s="932">
        <v>0</v>
      </c>
      <c r="R462" s="932">
        <v>0</v>
      </c>
      <c r="S462" s="932">
        <v>0</v>
      </c>
      <c r="T462" s="932">
        <v>899.499482636018</v>
      </c>
      <c r="U462" s="932">
        <v>8166.6382760574597</v>
      </c>
      <c r="BC462"/>
      <c r="BD462"/>
      <c r="BF462" s="519"/>
      <c r="BG462" s="519"/>
      <c r="CA462" s="62"/>
      <c r="CJ462" s="742">
        <v>-56035.063941309098</v>
      </c>
      <c r="CK462" s="742">
        <v>-72838.450666823293</v>
      </c>
      <c r="CL462" s="742">
        <v>-68282.623435442205</v>
      </c>
      <c r="CM462" s="742">
        <v>-67998.418944182893</v>
      </c>
      <c r="CN462" s="742">
        <v>-89256.318581902306</v>
      </c>
      <c r="CO462" s="742">
        <v>-32019.039338998798</v>
      </c>
    </row>
    <row r="463" spans="2:93">
      <c r="B463" t="s">
        <v>849</v>
      </c>
      <c r="C463" t="s">
        <v>1259</v>
      </c>
      <c r="D463" s="932">
        <v>0</v>
      </c>
      <c r="E463" s="932">
        <v>0</v>
      </c>
      <c r="F463" s="932">
        <v>0</v>
      </c>
      <c r="G463" s="932">
        <v>0</v>
      </c>
      <c r="H463" s="932">
        <v>0</v>
      </c>
      <c r="I463" s="932">
        <v>0</v>
      </c>
      <c r="J463" s="932">
        <v>0</v>
      </c>
      <c r="K463" s="932">
        <v>0</v>
      </c>
      <c r="L463" s="932">
        <v>0</v>
      </c>
      <c r="M463" s="932">
        <v>0</v>
      </c>
      <c r="N463" s="932">
        <v>0</v>
      </c>
      <c r="O463" s="932">
        <v>0</v>
      </c>
      <c r="P463" s="932">
        <v>0</v>
      </c>
      <c r="Q463" s="932">
        <v>0</v>
      </c>
      <c r="R463" s="932">
        <v>0</v>
      </c>
      <c r="S463" s="932">
        <v>0</v>
      </c>
      <c r="T463" s="932">
        <v>0</v>
      </c>
      <c r="U463" s="932">
        <v>0</v>
      </c>
      <c r="BC463"/>
      <c r="BD463"/>
      <c r="BF463" s="519"/>
      <c r="BG463" s="519"/>
      <c r="CA463" s="62"/>
      <c r="CJ463" s="742">
        <v>-2062.1122991399102</v>
      </c>
      <c r="CK463" s="742">
        <v>-1825.5784468705101</v>
      </c>
      <c r="CL463" s="742">
        <v>-3787.7185940354898</v>
      </c>
      <c r="CM463" s="742">
        <v>-3771.3833925102499</v>
      </c>
      <c r="CN463" s="742">
        <v>-2185.0312056098201</v>
      </c>
      <c r="CO463" s="742">
        <v>-1149.20832208199</v>
      </c>
    </row>
    <row r="464" spans="2:93">
      <c r="B464" t="s">
        <v>850</v>
      </c>
      <c r="C464" t="s">
        <v>1259</v>
      </c>
      <c r="D464" s="932">
        <v>0</v>
      </c>
      <c r="E464" s="932">
        <v>0</v>
      </c>
      <c r="F464" s="932">
        <v>0</v>
      </c>
      <c r="G464" s="932">
        <v>0.8</v>
      </c>
      <c r="H464" s="932">
        <v>0</v>
      </c>
      <c r="I464" s="932">
        <v>0</v>
      </c>
      <c r="J464" s="932">
        <v>0</v>
      </c>
      <c r="K464" s="932">
        <v>0</v>
      </c>
      <c r="L464" s="932">
        <v>0</v>
      </c>
      <c r="M464" s="932">
        <v>0</v>
      </c>
      <c r="N464" s="932">
        <v>0</v>
      </c>
      <c r="O464" s="932">
        <v>0</v>
      </c>
      <c r="P464" s="932">
        <v>0</v>
      </c>
      <c r="Q464" s="932">
        <v>0</v>
      </c>
      <c r="R464" s="932">
        <v>0</v>
      </c>
      <c r="S464" s="932">
        <v>0</v>
      </c>
      <c r="T464" s="932">
        <v>10708.2175538515</v>
      </c>
      <c r="U464" s="932">
        <v>0.50902117097979704</v>
      </c>
      <c r="BC464"/>
      <c r="BD464"/>
      <c r="BF464" s="519"/>
      <c r="BG464" s="519"/>
      <c r="CA464" s="62"/>
      <c r="CJ464" s="742">
        <v>8.2382124934919396</v>
      </c>
      <c r="CK464" s="742">
        <v>1.6313293888627001</v>
      </c>
      <c r="CL464" s="742">
        <v>-38.971277089913499</v>
      </c>
      <c r="CM464" s="742">
        <v>-38.123869905767698</v>
      </c>
      <c r="CN464" s="742">
        <v>-0.15566239899548501</v>
      </c>
      <c r="CO464" s="742">
        <v>0.43164365730464999</v>
      </c>
    </row>
    <row r="465" spans="2:93">
      <c r="B465" t="s">
        <v>1089</v>
      </c>
      <c r="C465" t="s">
        <v>1259</v>
      </c>
      <c r="D465" s="932">
        <v>0</v>
      </c>
      <c r="E465" s="932">
        <v>0</v>
      </c>
      <c r="F465" s="932">
        <v>0</v>
      </c>
      <c r="G465" s="932">
        <v>0</v>
      </c>
      <c r="H465" s="932">
        <v>104.889865520849</v>
      </c>
      <c r="I465" s="932">
        <v>104.968709995551</v>
      </c>
      <c r="J465" s="932">
        <v>96.292419401135405</v>
      </c>
      <c r="K465" s="932">
        <v>102.91517855201199</v>
      </c>
      <c r="L465" s="932">
        <v>102.91370639587601</v>
      </c>
      <c r="M465" s="932">
        <v>1.47215613572845E-3</v>
      </c>
      <c r="N465" s="932">
        <v>8.8573027853797497E-22</v>
      </c>
      <c r="O465" s="932">
        <v>2.7340787321490201E-2</v>
      </c>
      <c r="P465" s="932">
        <v>1.9368284664364399</v>
      </c>
      <c r="Q465" s="932">
        <v>102.91370639125699</v>
      </c>
      <c r="R465" s="932">
        <v>1.79737496700701E-93</v>
      </c>
      <c r="S465" s="932">
        <v>0</v>
      </c>
      <c r="T465" s="932">
        <v>0</v>
      </c>
      <c r="U465" s="932">
        <v>0</v>
      </c>
      <c r="BC465"/>
      <c r="BD465"/>
      <c r="BF465" s="519"/>
      <c r="BG465" s="519"/>
      <c r="CA465" s="62"/>
      <c r="CJ465" s="742">
        <v>0.303169446251567</v>
      </c>
      <c r="CK465" s="742">
        <v>4.0886643589889901E-2</v>
      </c>
      <c r="CL465" s="742">
        <v>-2.1617832391330798</v>
      </c>
      <c r="CM465" s="742">
        <v>-2.1144569543426601</v>
      </c>
      <c r="CN465" s="742">
        <v>-3.8106792297636399E-3</v>
      </c>
      <c r="CO465" s="742">
        <v>1.54922975013879E-2</v>
      </c>
    </row>
    <row r="466" spans="2:93">
      <c r="B466" t="s">
        <v>1078</v>
      </c>
      <c r="C466" t="s">
        <v>1259</v>
      </c>
      <c r="D466" s="932">
        <v>0</v>
      </c>
      <c r="E466" s="932">
        <v>0</v>
      </c>
      <c r="F466" s="932">
        <v>0</v>
      </c>
      <c r="G466" s="932">
        <v>0</v>
      </c>
      <c r="H466" s="932">
        <v>0</v>
      </c>
      <c r="I466" s="932">
        <v>0</v>
      </c>
      <c r="J466" s="932">
        <v>0</v>
      </c>
      <c r="K466" s="932">
        <v>0</v>
      </c>
      <c r="L466" s="932">
        <v>0</v>
      </c>
      <c r="M466" s="932">
        <v>0</v>
      </c>
      <c r="N466" s="932">
        <v>0</v>
      </c>
      <c r="O466" s="932">
        <v>0</v>
      </c>
      <c r="P466" s="932">
        <v>0</v>
      </c>
      <c r="Q466" s="932">
        <v>0</v>
      </c>
      <c r="R466" s="932">
        <v>0</v>
      </c>
      <c r="S466" s="932">
        <v>0</v>
      </c>
      <c r="T466" s="932">
        <v>3.9054385932083</v>
      </c>
      <c r="U466" s="932">
        <v>3.86615385449834E-13</v>
      </c>
      <c r="BC466"/>
      <c r="BD466"/>
      <c r="BF466" s="519"/>
      <c r="BG466" s="519"/>
      <c r="CA466" s="62"/>
      <c r="CJ466" s="745">
        <v>1.0827763810565299E-5</v>
      </c>
      <c r="CK466" s="745">
        <v>4.10254244469603E-5</v>
      </c>
      <c r="CL466" s="742">
        <v>5.5288160694815902E-2</v>
      </c>
      <c r="CM466" s="742">
        <v>5.5036277501793698E-2</v>
      </c>
      <c r="CN466" s="745">
        <v>6.8527105285487905E-5</v>
      </c>
      <c r="CO466" s="745">
        <v>3.4943272547751302E-5</v>
      </c>
    </row>
    <row r="467" spans="2:93">
      <c r="B467" s="61"/>
      <c r="BC467"/>
      <c r="BD467"/>
      <c r="BF467" s="519"/>
      <c r="BG467" s="519"/>
      <c r="CA467" s="62"/>
      <c r="CJ467" s="742">
        <v>2.9422958086205102E-4</v>
      </c>
      <c r="CK467" s="742">
        <v>1.6368665831851599E-3</v>
      </c>
      <c r="CL467" s="742">
        <v>0.99670040512174196</v>
      </c>
      <c r="CM467" s="742">
        <v>0.99230957587802704</v>
      </c>
      <c r="CN467" s="742">
        <v>2.79926306093648E-3</v>
      </c>
      <c r="CO467" s="742">
        <v>9.7358328933157398E-4</v>
      </c>
    </row>
    <row r="468" spans="2:93">
      <c r="B468" s="61"/>
      <c r="F468" s="44"/>
      <c r="BC468"/>
      <c r="BD468"/>
      <c r="BF468" s="519"/>
      <c r="BG468" s="519"/>
      <c r="CA468" s="62"/>
      <c r="CJ468" s="742">
        <v>-310619480.71198201</v>
      </c>
      <c r="CK468" s="742">
        <v>-168847920.209308</v>
      </c>
      <c r="CL468" s="742">
        <v>-220224045.25144401</v>
      </c>
      <c r="CM468" s="742">
        <v>-28829846.6448837</v>
      </c>
      <c r="CN468" s="742">
        <v>-163107408.25661701</v>
      </c>
      <c r="CO468" s="742">
        <v>-29283627.092027001</v>
      </c>
    </row>
    <row r="469" spans="2:93">
      <c r="B469" s="61"/>
      <c r="BC469"/>
      <c r="BD469"/>
      <c r="BF469" s="519"/>
      <c r="BG469" s="519"/>
      <c r="CA469" s="62"/>
      <c r="CJ469" s="742">
        <v>27.173623844191599</v>
      </c>
      <c r="CK469" s="742">
        <v>39.898833595283897</v>
      </c>
      <c r="CL469" s="742">
        <v>18.027374985820401</v>
      </c>
      <c r="CM469" s="742">
        <v>18.030099798186502</v>
      </c>
      <c r="CN469" s="742">
        <v>40.848990326887296</v>
      </c>
      <c r="CO469" s="742">
        <v>27.861823416829001</v>
      </c>
    </row>
    <row r="470" spans="2:93">
      <c r="B470" s="61"/>
      <c r="F470" s="44"/>
      <c r="BC470"/>
      <c r="BD470"/>
      <c r="BF470" s="519"/>
      <c r="BG470" s="519"/>
      <c r="CA470" s="62"/>
      <c r="CJ470" s="753">
        <v>19955.899965321099</v>
      </c>
      <c r="CK470" s="753">
        <v>8345.2147483742901</v>
      </c>
      <c r="CL470" s="753">
        <v>11610.663489734799</v>
      </c>
      <c r="CM470" s="753">
        <v>1526.3214870742299</v>
      </c>
      <c r="CN470" s="753">
        <v>6578.6566044062401</v>
      </c>
      <c r="CO470" s="753">
        <v>3292.4491086431699</v>
      </c>
    </row>
    <row r="471" spans="2:93">
      <c r="B471" s="61"/>
      <c r="F471" s="44"/>
      <c r="X471" s="44"/>
      <c r="Y471" s="44"/>
      <c r="AE471" s="44"/>
      <c r="AF471" s="44"/>
      <c r="BO471" s="44"/>
      <c r="BP471" s="44"/>
      <c r="CA471" s="62"/>
      <c r="CJ471" s="742">
        <v>0</v>
      </c>
      <c r="CK471" s="742">
        <v>0</v>
      </c>
      <c r="CL471" s="742">
        <v>0</v>
      </c>
      <c r="CM471" s="742">
        <v>0.52520538022963603</v>
      </c>
      <c r="CN471" s="745">
        <v>3.4213819948760797E-5</v>
      </c>
      <c r="CO471" s="742">
        <v>0.52517116640968697</v>
      </c>
    </row>
    <row r="472" spans="2:93">
      <c r="B472" s="61"/>
      <c r="F472" s="44"/>
      <c r="X472" s="44"/>
      <c r="Y472" s="44"/>
      <c r="AE472" s="44"/>
      <c r="AF472" s="44"/>
      <c r="AI472" s="44"/>
      <c r="AJ472" s="44"/>
      <c r="BC472"/>
      <c r="BD472"/>
      <c r="BF472" s="519"/>
      <c r="BG472" s="519"/>
      <c r="BL472" s="44"/>
      <c r="BM472" s="44"/>
      <c r="CA472" s="62"/>
      <c r="CJ472" s="742">
        <v>0</v>
      </c>
      <c r="CK472" s="742">
        <v>0</v>
      </c>
      <c r="CL472" s="742">
        <v>0</v>
      </c>
      <c r="CM472" s="742">
        <v>0</v>
      </c>
      <c r="CN472" s="742">
        <v>0</v>
      </c>
      <c r="CO472" s="742">
        <v>0</v>
      </c>
    </row>
    <row r="473" spans="2:93">
      <c r="B473" s="61"/>
      <c r="X473" s="44"/>
      <c r="Y473" s="44"/>
      <c r="AG473" s="44"/>
      <c r="AI473" s="44"/>
      <c r="AJ473" s="44"/>
      <c r="AS473" s="44"/>
      <c r="BC473"/>
      <c r="BD473"/>
      <c r="BE473" s="44"/>
      <c r="BF473" s="520"/>
      <c r="BG473" s="520"/>
      <c r="CA473" s="62"/>
      <c r="CJ473" s="742">
        <v>0</v>
      </c>
      <c r="CK473" s="742">
        <v>0</v>
      </c>
      <c r="CL473" s="742">
        <v>0</v>
      </c>
      <c r="CM473" s="742">
        <v>0</v>
      </c>
      <c r="CN473" s="742">
        <v>0</v>
      </c>
      <c r="CO473" s="742">
        <v>0</v>
      </c>
    </row>
    <row r="474" spans="2:93">
      <c r="B474" s="61"/>
      <c r="AG474" s="44"/>
      <c r="BC474"/>
      <c r="BD474"/>
      <c r="BE474" s="44"/>
      <c r="BF474" s="519"/>
      <c r="BG474" s="519"/>
      <c r="CA474" s="62"/>
      <c r="CJ474" s="742">
        <v>0</v>
      </c>
      <c r="CK474" s="742">
        <v>0</v>
      </c>
      <c r="CL474" s="742">
        <v>0</v>
      </c>
      <c r="CM474" s="742">
        <v>0</v>
      </c>
      <c r="CN474" s="742">
        <v>0</v>
      </c>
      <c r="CO474" s="742">
        <v>0</v>
      </c>
    </row>
    <row r="475" spans="2:93">
      <c r="B475" s="61"/>
      <c r="P475" s="44"/>
      <c r="Y475" s="44"/>
      <c r="AM475" s="44"/>
      <c r="AN475" s="44"/>
      <c r="AO475" s="44"/>
      <c r="AP475" s="44"/>
      <c r="AQ475" s="44"/>
      <c r="AR475" s="44"/>
      <c r="AS475" s="44"/>
      <c r="BA475" s="44"/>
      <c r="BC475" s="44"/>
      <c r="BD475" s="44"/>
      <c r="BE475" s="44"/>
      <c r="BF475" s="520"/>
      <c r="BG475" s="520"/>
      <c r="CA475" s="62"/>
      <c r="CJ475" s="742">
        <v>0</v>
      </c>
      <c r="CK475" s="742">
        <v>0</v>
      </c>
      <c r="CL475" s="742">
        <v>0</v>
      </c>
      <c r="CM475" s="742">
        <v>0</v>
      </c>
      <c r="CN475" s="742">
        <v>0</v>
      </c>
      <c r="CO475" s="742">
        <v>0</v>
      </c>
    </row>
    <row r="476" spans="2:93">
      <c r="B476" s="61"/>
      <c r="AM476" s="44"/>
      <c r="AN476" s="44"/>
      <c r="AO476" s="44"/>
      <c r="AP476" s="44"/>
      <c r="AQ476" s="44"/>
      <c r="AR476" s="44"/>
      <c r="AS476" s="44"/>
      <c r="BA476" s="44"/>
      <c r="BC476"/>
      <c r="BD476"/>
      <c r="BE476" s="44"/>
      <c r="BF476" s="519"/>
      <c r="BG476" s="519"/>
      <c r="CA476" s="62"/>
      <c r="CJ476" s="742">
        <v>0</v>
      </c>
      <c r="CK476" s="742">
        <v>0</v>
      </c>
      <c r="CL476" s="742">
        <v>0</v>
      </c>
      <c r="CM476" s="742">
        <v>0</v>
      </c>
      <c r="CN476" s="742">
        <v>0</v>
      </c>
      <c r="CO476" s="742">
        <v>0</v>
      </c>
    </row>
    <row r="477" spans="2:93">
      <c r="B477" s="61"/>
      <c r="G477" s="44"/>
      <c r="H477" s="44"/>
      <c r="AG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C477" s="44"/>
      <c r="BD477" s="44"/>
      <c r="BE477" s="44"/>
      <c r="BF477" s="520"/>
      <c r="BG477" s="519"/>
      <c r="CA477" s="62"/>
      <c r="CJ477" s="742">
        <v>0</v>
      </c>
      <c r="CK477" s="742">
        <v>0</v>
      </c>
      <c r="CL477" s="742">
        <v>0</v>
      </c>
      <c r="CM477" s="742">
        <v>0</v>
      </c>
      <c r="CN477" s="742">
        <v>0</v>
      </c>
      <c r="CO477" s="742">
        <v>0</v>
      </c>
    </row>
    <row r="478" spans="2:93">
      <c r="B478" s="61"/>
      <c r="G478" s="44"/>
      <c r="H478" s="44"/>
      <c r="Z478" s="44"/>
      <c r="AG478" s="44"/>
      <c r="AH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  <c r="BC478" s="44"/>
      <c r="BD478" s="44"/>
      <c r="BE478" s="44"/>
      <c r="BF478" s="520"/>
      <c r="BG478" s="519"/>
      <c r="CA478" s="62"/>
      <c r="CJ478" s="742">
        <v>0</v>
      </c>
      <c r="CK478" s="742">
        <v>0</v>
      </c>
      <c r="CL478" s="742">
        <v>0</v>
      </c>
      <c r="CM478" s="742">
        <v>0</v>
      </c>
      <c r="CN478" s="742">
        <v>0</v>
      </c>
      <c r="CO478" s="742">
        <v>0</v>
      </c>
    </row>
    <row r="479" spans="2:93">
      <c r="B479" s="61"/>
      <c r="G479" s="44"/>
      <c r="H479" s="44"/>
      <c r="Z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C479" s="44"/>
      <c r="BD479" s="44"/>
      <c r="BE479" s="44"/>
      <c r="BF479" s="519"/>
      <c r="BG479" s="519"/>
      <c r="BO479" s="44"/>
      <c r="BP479" s="44"/>
      <c r="BQ479" s="44"/>
      <c r="BR479" s="44"/>
      <c r="CA479" s="62"/>
      <c r="CJ479" s="742">
        <v>0</v>
      </c>
      <c r="CK479" s="742">
        <v>0</v>
      </c>
      <c r="CL479" s="742">
        <v>0</v>
      </c>
      <c r="CM479" s="742">
        <v>0</v>
      </c>
      <c r="CN479" s="742">
        <v>0</v>
      </c>
      <c r="CO479" s="742">
        <v>0</v>
      </c>
    </row>
    <row r="480" spans="2:93">
      <c r="B480" s="61"/>
      <c r="G480" s="44"/>
      <c r="H480" s="44"/>
      <c r="Z480" s="44"/>
      <c r="AB480" s="44"/>
      <c r="AC480" s="44"/>
      <c r="AD480" s="44"/>
      <c r="AE480" s="44"/>
      <c r="AF480" s="44"/>
      <c r="AH480" s="44"/>
      <c r="AI480" s="44"/>
      <c r="AJ480" s="44"/>
      <c r="AK480" s="44"/>
      <c r="AL480" s="44"/>
      <c r="BA480" s="44"/>
      <c r="BC480"/>
      <c r="BD480"/>
      <c r="BE480" s="44"/>
      <c r="BF480" s="519"/>
      <c r="BG480" s="519"/>
      <c r="BL480" s="44"/>
      <c r="BM480" s="44"/>
      <c r="BN480" s="44"/>
      <c r="BO480" s="44"/>
      <c r="CA480" s="62"/>
      <c r="CJ480" s="742">
        <v>0</v>
      </c>
      <c r="CK480" s="742">
        <v>0</v>
      </c>
      <c r="CL480" s="742">
        <v>0</v>
      </c>
      <c r="CM480" s="742">
        <v>0</v>
      </c>
      <c r="CN480" s="742">
        <v>0</v>
      </c>
      <c r="CO480" s="742">
        <v>0</v>
      </c>
    </row>
    <row r="481" spans="2:93">
      <c r="B481" s="61"/>
      <c r="BC481"/>
      <c r="BD481"/>
      <c r="BF481" s="519"/>
      <c r="BG481" s="519"/>
      <c r="CA481" s="62"/>
      <c r="CJ481" s="742">
        <v>0</v>
      </c>
      <c r="CK481" s="742">
        <v>0</v>
      </c>
      <c r="CL481" s="742">
        <v>0</v>
      </c>
      <c r="CM481" s="742">
        <v>0</v>
      </c>
      <c r="CN481" s="742">
        <v>0</v>
      </c>
      <c r="CO481" s="742">
        <v>0</v>
      </c>
    </row>
    <row r="482" spans="2:93">
      <c r="B482" s="61"/>
      <c r="BC482"/>
      <c r="BD482"/>
      <c r="BF482" s="519"/>
      <c r="BG482" s="519"/>
      <c r="CA482" s="62"/>
      <c r="CJ482" s="742">
        <v>11869.235032705599</v>
      </c>
      <c r="CK482" s="742">
        <v>263.95609285106798</v>
      </c>
      <c r="CL482" s="742">
        <v>11605.2354855589</v>
      </c>
      <c r="CM482" s="742">
        <v>1525.7962816940001</v>
      </c>
      <c r="CN482" s="742">
        <v>799.83652661761801</v>
      </c>
      <c r="CO482" s="742">
        <v>989.91584792744504</v>
      </c>
    </row>
    <row r="483" spans="2:93">
      <c r="B483" s="61"/>
      <c r="BC483"/>
      <c r="BD483"/>
      <c r="BF483" s="519"/>
      <c r="BG483" s="519"/>
      <c r="CA483" s="62"/>
      <c r="CJ483" s="742">
        <v>244.890044687613</v>
      </c>
      <c r="CK483" s="742">
        <v>244.882214387473</v>
      </c>
      <c r="CL483" s="742">
        <v>7.8302947302387894E-3</v>
      </c>
      <c r="CM483" s="742">
        <v>0</v>
      </c>
      <c r="CN483" s="742">
        <v>3.6664777993214999E-2</v>
      </c>
      <c r="CO483" s="742">
        <v>244.84555223894299</v>
      </c>
    </row>
    <row r="484" spans="2:93">
      <c r="B484" s="61"/>
      <c r="BC484"/>
      <c r="BD484"/>
      <c r="BF484" s="519"/>
      <c r="BG484" s="519"/>
      <c r="CA484" s="62"/>
      <c r="CJ484" s="753">
        <v>6309.8847160178002</v>
      </c>
      <c r="CK484" s="753">
        <v>6304.5112834644196</v>
      </c>
      <c r="CL484" s="753">
        <v>5.3517052021734504</v>
      </c>
      <c r="CM484" s="753">
        <v>0</v>
      </c>
      <c r="CN484" s="753">
        <v>5778.6536585288004</v>
      </c>
      <c r="CO484" s="753">
        <v>525.42707547133705</v>
      </c>
    </row>
    <row r="485" spans="2:93">
      <c r="B485" s="61"/>
      <c r="BC485"/>
      <c r="BD485"/>
      <c r="BF485" s="519"/>
      <c r="BG485" s="519"/>
      <c r="CA485" s="62"/>
      <c r="CJ485" s="742">
        <v>0</v>
      </c>
      <c r="CK485" s="742">
        <v>0</v>
      </c>
      <c r="CL485" s="742">
        <v>0</v>
      </c>
      <c r="CM485" s="742">
        <v>0</v>
      </c>
      <c r="CN485" s="742">
        <v>0</v>
      </c>
      <c r="CO485" s="742">
        <v>0</v>
      </c>
    </row>
    <row r="486" spans="2:93">
      <c r="B486" s="61"/>
      <c r="BC486"/>
      <c r="BD486"/>
      <c r="BF486" s="519"/>
      <c r="BG486" s="519"/>
      <c r="CA486" s="62"/>
      <c r="CJ486" s="742">
        <v>1531.8901719101</v>
      </c>
      <c r="CK486" s="742">
        <v>1531.8651576713301</v>
      </c>
      <c r="CL486" s="742">
        <v>2.5014204922854701E-2</v>
      </c>
      <c r="CM486" s="742">
        <v>0</v>
      </c>
      <c r="CN486" s="742">
        <v>0.12972026800678199</v>
      </c>
      <c r="CO486" s="742">
        <v>1531.73546183903</v>
      </c>
    </row>
    <row r="487" spans="2:93">
      <c r="B487" s="61"/>
      <c r="BC487"/>
      <c r="BD487"/>
      <c r="BF487" s="519"/>
      <c r="BG487" s="519"/>
      <c r="CA487" s="62"/>
      <c r="CJ487" s="742"/>
      <c r="CK487" s="742"/>
      <c r="CL487" s="742"/>
      <c r="CM487" s="742"/>
      <c r="CN487" s="742"/>
      <c r="CO487" s="742"/>
    </row>
    <row r="488" spans="2:93">
      <c r="B488" s="61"/>
      <c r="X488" s="44"/>
      <c r="Y488" s="44"/>
      <c r="AE488" s="44"/>
      <c r="AF488" s="44"/>
      <c r="BO488" s="44"/>
      <c r="BP488" s="44"/>
      <c r="CA488" s="62"/>
      <c r="CJ488" s="742">
        <v>0</v>
      </c>
      <c r="CK488" s="742">
        <v>0</v>
      </c>
      <c r="CL488" s="742">
        <v>0</v>
      </c>
      <c r="CM488" s="742">
        <v>3.4409879221211198E-4</v>
      </c>
      <c r="CN488" s="745">
        <v>5.20073048437352E-9</v>
      </c>
      <c r="CO488" s="742">
        <v>1.59507755193857E-4</v>
      </c>
    </row>
    <row r="489" spans="2:93">
      <c r="B489" s="61"/>
      <c r="X489" s="44"/>
      <c r="Y489" s="44"/>
      <c r="AE489" s="44"/>
      <c r="AF489" s="44"/>
      <c r="AI489" s="44"/>
      <c r="AJ489" s="44"/>
      <c r="BC489"/>
      <c r="BD489"/>
      <c r="BF489" s="519"/>
      <c r="BG489" s="519"/>
      <c r="BL489" s="44"/>
      <c r="BM489" s="44"/>
      <c r="CA489" s="62"/>
      <c r="CJ489" s="742">
        <v>0</v>
      </c>
      <c r="CK489" s="742">
        <v>0</v>
      </c>
      <c r="CL489" s="742">
        <v>0</v>
      </c>
      <c r="CM489" s="742">
        <v>0</v>
      </c>
      <c r="CN489" s="742">
        <v>0</v>
      </c>
      <c r="CO489" s="742">
        <v>0</v>
      </c>
    </row>
    <row r="490" spans="2:93">
      <c r="B490" s="61"/>
      <c r="G490" s="44"/>
      <c r="H490" s="44"/>
      <c r="P490" s="44"/>
      <c r="X490" s="44"/>
      <c r="Y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C490" s="44"/>
      <c r="BD490" s="44"/>
      <c r="BE490" s="44"/>
      <c r="BF490" s="520"/>
      <c r="BG490" s="520"/>
      <c r="BL490" s="44"/>
      <c r="CA490" s="62"/>
      <c r="CJ490" s="742">
        <v>0</v>
      </c>
      <c r="CK490" s="742">
        <v>0</v>
      </c>
      <c r="CL490" s="742">
        <v>0</v>
      </c>
      <c r="CM490" s="742">
        <v>0</v>
      </c>
      <c r="CN490" s="742">
        <v>0</v>
      </c>
      <c r="CO490" s="742">
        <v>0</v>
      </c>
    </row>
    <row r="491" spans="2:93">
      <c r="B491" s="61"/>
      <c r="G491" s="44"/>
      <c r="H491" s="44"/>
      <c r="X491" s="44"/>
      <c r="Y491" s="44"/>
      <c r="AG491" s="44"/>
      <c r="AH491" s="44"/>
      <c r="AK491" s="44"/>
      <c r="AL491" s="44"/>
      <c r="AM491" s="44"/>
      <c r="AN491" s="44"/>
      <c r="AO491" s="44"/>
      <c r="AP491" s="44"/>
      <c r="AQ491" s="44"/>
      <c r="AR491" s="44"/>
      <c r="AS491" s="44"/>
      <c r="BA491" s="44"/>
      <c r="BB491" s="44"/>
      <c r="BC491"/>
      <c r="BD491"/>
      <c r="BE491" s="44"/>
      <c r="BF491" s="520"/>
      <c r="BG491" s="520"/>
      <c r="CA491" s="62"/>
      <c r="CJ491" s="742">
        <v>0</v>
      </c>
      <c r="CK491" s="742">
        <v>0</v>
      </c>
      <c r="CL491" s="742">
        <v>0</v>
      </c>
      <c r="CM491" s="742">
        <v>0</v>
      </c>
      <c r="CN491" s="742">
        <v>0</v>
      </c>
      <c r="CO491" s="742">
        <v>0</v>
      </c>
    </row>
    <row r="492" spans="2:93">
      <c r="B492" s="61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X492" s="44"/>
      <c r="Y492" s="44"/>
      <c r="AB492" s="44"/>
      <c r="AC492" s="44"/>
      <c r="AG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C492" s="44"/>
      <c r="BD492" s="44"/>
      <c r="BE492" s="44"/>
      <c r="BF492" s="520"/>
      <c r="BG492" s="520"/>
      <c r="BL492" s="44"/>
      <c r="BS492" s="44"/>
      <c r="BT492" s="44"/>
      <c r="BU492" s="44"/>
      <c r="CA492" s="62"/>
      <c r="CJ492" s="742">
        <v>0</v>
      </c>
      <c r="CK492" s="742">
        <v>0</v>
      </c>
      <c r="CL492" s="742">
        <v>0</v>
      </c>
      <c r="CM492" s="742">
        <v>0</v>
      </c>
      <c r="CN492" s="742">
        <v>0</v>
      </c>
      <c r="CO492" s="742">
        <v>0</v>
      </c>
    </row>
    <row r="493" spans="2:93">
      <c r="B493" s="61"/>
      <c r="G493" s="44"/>
      <c r="H493" s="44"/>
      <c r="P493" s="44"/>
      <c r="X493" s="44"/>
      <c r="Y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C493"/>
      <c r="BD493"/>
      <c r="BE493" s="44"/>
      <c r="BF493" s="519"/>
      <c r="BG493" s="519"/>
      <c r="BI493" s="44"/>
      <c r="BP493" s="44"/>
      <c r="BQ493" s="44"/>
      <c r="BR493" s="44"/>
      <c r="CA493" s="62"/>
      <c r="CJ493" s="742">
        <v>0</v>
      </c>
      <c r="CK493" s="742">
        <v>0</v>
      </c>
      <c r="CL493" s="742">
        <v>0</v>
      </c>
      <c r="CM493" s="742">
        <v>0</v>
      </c>
      <c r="CN493" s="742">
        <v>0</v>
      </c>
      <c r="CO493" s="742">
        <v>0</v>
      </c>
    </row>
    <row r="494" spans="2:93">
      <c r="B494" s="61"/>
      <c r="G494" s="44"/>
      <c r="H494" s="44"/>
      <c r="AB494" s="44"/>
      <c r="AC494" s="44"/>
      <c r="AG494" s="44"/>
      <c r="AH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C494" s="44"/>
      <c r="BD494" s="44"/>
      <c r="BE494" s="44"/>
      <c r="BF494" s="520"/>
      <c r="BG494" s="519"/>
      <c r="CA494" s="62"/>
      <c r="CJ494" s="742">
        <v>0</v>
      </c>
      <c r="CK494" s="742">
        <v>0</v>
      </c>
      <c r="CL494" s="742">
        <v>0</v>
      </c>
      <c r="CM494" s="742">
        <v>0</v>
      </c>
      <c r="CN494" s="742">
        <v>0</v>
      </c>
      <c r="CO494" s="742">
        <v>0</v>
      </c>
    </row>
    <row r="495" spans="2:93">
      <c r="B495" s="61"/>
      <c r="G495" s="44"/>
      <c r="H495" s="44"/>
      <c r="I495" s="44"/>
      <c r="J495" s="44"/>
      <c r="K495" s="44"/>
      <c r="L495" s="44"/>
      <c r="M495" s="44"/>
      <c r="N495" s="44"/>
      <c r="O495" s="44"/>
      <c r="Q495" s="44"/>
      <c r="R495" s="44"/>
      <c r="S495" s="44"/>
      <c r="U495" s="44"/>
      <c r="V495" s="44"/>
      <c r="Z495" s="44"/>
      <c r="AB495" s="44"/>
      <c r="AC495" s="44"/>
      <c r="AD495" s="44"/>
      <c r="AE495" s="44"/>
      <c r="AF495" s="44"/>
      <c r="AG495" s="44"/>
      <c r="AH495" s="44"/>
      <c r="AI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C495" s="44"/>
      <c r="BD495" s="44"/>
      <c r="BE495" s="44"/>
      <c r="BF495" s="520"/>
      <c r="BG495" s="519"/>
      <c r="BO495" s="44"/>
      <c r="BP495" s="44"/>
      <c r="BQ495" s="44"/>
      <c r="BR495" s="44"/>
      <c r="CA495" s="62"/>
      <c r="CJ495" s="742">
        <v>0</v>
      </c>
      <c r="CK495" s="742">
        <v>0</v>
      </c>
      <c r="CL495" s="742">
        <v>0</v>
      </c>
      <c r="CM495" s="742">
        <v>0</v>
      </c>
      <c r="CN495" s="742">
        <v>0</v>
      </c>
      <c r="CO495" s="742">
        <v>0</v>
      </c>
    </row>
    <row r="496" spans="2:93">
      <c r="B496" s="61"/>
      <c r="G496" s="44"/>
      <c r="H496" s="44"/>
      <c r="I496" s="44"/>
      <c r="J496" s="44"/>
      <c r="K496" s="44"/>
      <c r="L496" s="44"/>
      <c r="M496" s="44"/>
      <c r="N496" s="44"/>
      <c r="O496" s="44"/>
      <c r="R496" s="44"/>
      <c r="S496" s="44"/>
      <c r="U496" s="44"/>
      <c r="V496" s="44"/>
      <c r="Z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C496" s="44"/>
      <c r="BD496" s="44"/>
      <c r="BE496" s="44"/>
      <c r="BF496" s="519"/>
      <c r="BG496" s="519"/>
      <c r="BL496" s="44"/>
      <c r="BM496" s="44"/>
      <c r="BN496" s="44"/>
      <c r="BO496" s="44"/>
      <c r="BP496" s="44"/>
      <c r="BQ496" s="44"/>
      <c r="BR496" s="44"/>
      <c r="CA496" s="62"/>
      <c r="CJ496" s="742">
        <v>0</v>
      </c>
      <c r="CK496" s="742">
        <v>0</v>
      </c>
      <c r="CL496" s="742">
        <v>0</v>
      </c>
      <c r="CM496" s="742">
        <v>0</v>
      </c>
      <c r="CN496" s="742">
        <v>0</v>
      </c>
      <c r="CO496" s="742">
        <v>0</v>
      </c>
    </row>
    <row r="497" spans="2:93">
      <c r="B497" s="61"/>
      <c r="G497" s="44"/>
      <c r="H497" s="44"/>
      <c r="R497" s="44"/>
      <c r="S497" s="44"/>
      <c r="U497" s="44"/>
      <c r="V497" s="44"/>
      <c r="Z497" s="44"/>
      <c r="AB497" s="44"/>
      <c r="AC497" s="44"/>
      <c r="AD497" s="44"/>
      <c r="AE497" s="44"/>
      <c r="AF497" s="44"/>
      <c r="AH497" s="44"/>
      <c r="AI497" s="44"/>
      <c r="AJ497" s="44"/>
      <c r="AK497" s="44"/>
      <c r="AL497" s="44"/>
      <c r="BA497" s="44"/>
      <c r="BC497"/>
      <c r="BD497"/>
      <c r="BE497" s="44"/>
      <c r="BF497" s="519"/>
      <c r="BG497" s="519"/>
      <c r="BL497" s="44"/>
      <c r="BM497" s="44"/>
      <c r="BN497" s="44"/>
      <c r="BO497" s="44"/>
      <c r="CA497" s="62"/>
      <c r="CJ497" s="742">
        <v>0</v>
      </c>
      <c r="CK497" s="742">
        <v>0</v>
      </c>
      <c r="CL497" s="742">
        <v>0</v>
      </c>
      <c r="CM497" s="742">
        <v>0</v>
      </c>
      <c r="CN497" s="742">
        <v>0</v>
      </c>
      <c r="CO497" s="742">
        <v>0</v>
      </c>
    </row>
    <row r="498" spans="2:93">
      <c r="B498" s="61"/>
      <c r="BC498"/>
      <c r="BD498"/>
      <c r="BF498" s="519"/>
      <c r="BG498" s="519"/>
      <c r="CA498" s="62"/>
      <c r="CJ498" s="742">
        <v>0</v>
      </c>
      <c r="CK498" s="742">
        <v>0</v>
      </c>
      <c r="CL498" s="742">
        <v>0</v>
      </c>
      <c r="CM498" s="742">
        <v>0</v>
      </c>
      <c r="CN498" s="742">
        <v>0</v>
      </c>
      <c r="CO498" s="742">
        <v>0</v>
      </c>
    </row>
    <row r="499" spans="2:93">
      <c r="B499" s="61"/>
      <c r="BC499"/>
      <c r="BD499"/>
      <c r="BF499" s="519"/>
      <c r="BG499" s="519"/>
      <c r="CA499" s="62"/>
      <c r="CJ499" s="742">
        <v>0.59477322763351503</v>
      </c>
      <c r="CK499" s="742">
        <v>3.1629634564226003E-2</v>
      </c>
      <c r="CL499" s="742">
        <v>0.99953249836404801</v>
      </c>
      <c r="CM499" s="742">
        <v>0.99965590120778802</v>
      </c>
      <c r="CN499" s="742">
        <v>0.121580525434616</v>
      </c>
      <c r="CO499" s="742">
        <v>0.30066245984752499</v>
      </c>
    </row>
    <row r="500" spans="2:93">
      <c r="B500" s="61"/>
      <c r="BC500"/>
      <c r="BD500"/>
      <c r="BF500" s="519"/>
      <c r="BG500" s="519"/>
      <c r="CA500" s="62"/>
      <c r="CJ500" s="742">
        <v>1.22715610477692E-2</v>
      </c>
      <c r="CK500" s="742">
        <v>2.9344027897565801E-2</v>
      </c>
      <c r="CL500" s="745">
        <v>6.7440544953883802E-7</v>
      </c>
      <c r="CM500" s="742">
        <v>0</v>
      </c>
      <c r="CN500" s="745">
        <v>5.5732925729331502E-6</v>
      </c>
      <c r="CO500" s="742">
        <v>7.4365781872280698E-2</v>
      </c>
    </row>
    <row r="501" spans="2:93">
      <c r="B501" s="61"/>
      <c r="BC501"/>
      <c r="BD501"/>
      <c r="BF501" s="519"/>
      <c r="BG501" s="519"/>
      <c r="CA501" s="62"/>
      <c r="CJ501" s="742">
        <v>0.31619143847097703</v>
      </c>
      <c r="CK501" s="742">
        <v>0.75546423591946299</v>
      </c>
      <c r="CL501" s="742">
        <v>4.60930179132741E-4</v>
      </c>
      <c r="CM501" s="742">
        <v>0</v>
      </c>
      <c r="CN501" s="742">
        <v>0.87839417771986805</v>
      </c>
      <c r="CO501" s="742">
        <v>0.15958548124313099</v>
      </c>
    </row>
    <row r="502" spans="2:93">
      <c r="B502" s="61"/>
      <c r="BC502"/>
      <c r="BD502"/>
      <c r="BF502" s="519"/>
      <c r="BG502" s="519"/>
      <c r="BI502" s="44"/>
      <c r="BK502" s="44"/>
      <c r="CA502" s="62"/>
      <c r="CJ502" s="742">
        <v>0</v>
      </c>
      <c r="CK502" s="742">
        <v>0</v>
      </c>
      <c r="CL502" s="742">
        <v>0</v>
      </c>
      <c r="CM502" s="742">
        <v>0</v>
      </c>
      <c r="CN502" s="742">
        <v>0</v>
      </c>
      <c r="CO502" s="742">
        <v>0</v>
      </c>
    </row>
    <row r="503" spans="2:93">
      <c r="B503" s="61"/>
      <c r="BC503"/>
      <c r="BD503"/>
      <c r="BF503" s="519"/>
      <c r="BG503" s="520"/>
      <c r="BH503" s="44"/>
      <c r="CA503" s="62"/>
      <c r="CJ503" s="742">
        <v>7.6763772847738304E-2</v>
      </c>
      <c r="CK503" s="742">
        <v>0.183562101618745</v>
      </c>
      <c r="CL503" s="745">
        <v>2.1544164935079001E-6</v>
      </c>
      <c r="CM503" s="742">
        <v>0</v>
      </c>
      <c r="CN503" s="745">
        <v>1.9718352211893599E-5</v>
      </c>
      <c r="CO503" s="742">
        <v>0.46522676928187001</v>
      </c>
    </row>
    <row r="504" spans="2:93" s="43" customFormat="1">
      <c r="B504" s="61"/>
      <c r="C504"/>
      <c r="D504"/>
      <c r="E504"/>
      <c r="F504" s="4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 s="752"/>
      <c r="BG504" s="752"/>
      <c r="BI504"/>
      <c r="BJ504"/>
      <c r="BK504"/>
      <c r="BL504"/>
      <c r="BM504"/>
      <c r="BN504"/>
      <c r="BO504"/>
      <c r="BP504"/>
      <c r="BQ504"/>
      <c r="BR504"/>
      <c r="CA504" s="346"/>
      <c r="CJ504" s="744">
        <v>542274.11912995204</v>
      </c>
      <c r="CK504" s="744">
        <v>332964.334562295</v>
      </c>
      <c r="CL504" s="744">
        <v>209309.78456362299</v>
      </c>
      <c r="CM504" s="744">
        <v>27519.728736064699</v>
      </c>
      <c r="CN504" s="744">
        <v>268731.47999730398</v>
      </c>
      <c r="CO504" s="744">
        <v>91733.635673911805</v>
      </c>
    </row>
    <row r="505" spans="2:93">
      <c r="B505" s="61"/>
      <c r="F505" s="44"/>
      <c r="X505" s="44"/>
      <c r="Y505" s="44"/>
      <c r="AE505" s="44"/>
      <c r="AF505" s="44"/>
      <c r="BO505" s="44"/>
      <c r="BP505" s="44"/>
      <c r="CA505" s="62"/>
      <c r="CJ505" s="742">
        <v>0</v>
      </c>
      <c r="CK505" s="742">
        <v>0</v>
      </c>
      <c r="CL505" s="742">
        <v>0</v>
      </c>
      <c r="CM505" s="742">
        <v>32.0814983884407</v>
      </c>
      <c r="CN505" s="742">
        <v>2.08990739788052E-3</v>
      </c>
      <c r="CO505" s="742">
        <v>32.079408481042798</v>
      </c>
    </row>
    <row r="506" spans="2:93">
      <c r="B506" s="61"/>
      <c r="F506" s="44"/>
      <c r="X506" s="44"/>
      <c r="Y506" s="44"/>
      <c r="AE506" s="44"/>
      <c r="AF506" s="44"/>
      <c r="AI506" s="44"/>
      <c r="AJ506" s="44"/>
      <c r="BC506"/>
      <c r="BD506"/>
      <c r="BF506" s="519"/>
      <c r="BG506" s="519"/>
      <c r="BL506" s="44"/>
      <c r="BM506" s="44"/>
      <c r="CA506" s="62"/>
      <c r="CJ506" s="742">
        <v>0</v>
      </c>
      <c r="CK506" s="742">
        <v>0</v>
      </c>
      <c r="CL506" s="742">
        <v>0</v>
      </c>
      <c r="CM506" s="742">
        <v>0</v>
      </c>
      <c r="CN506" s="742">
        <v>0</v>
      </c>
      <c r="CO506" s="742">
        <v>0</v>
      </c>
    </row>
    <row r="507" spans="2:93">
      <c r="B507" s="182"/>
      <c r="C507" s="43"/>
      <c r="D507" s="68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6"/>
      <c r="AH507" s="43"/>
      <c r="AI507" s="46"/>
      <c r="AJ507" s="46"/>
      <c r="AK507" s="43"/>
      <c r="AL507" s="43"/>
      <c r="AM507" s="43"/>
      <c r="AN507" s="43"/>
      <c r="AO507" s="43"/>
      <c r="AP507" s="43"/>
      <c r="AQ507" s="43"/>
      <c r="AR507" s="43"/>
      <c r="AS507" s="43"/>
      <c r="AT507" s="43"/>
      <c r="AU507" s="43"/>
      <c r="AV507" s="43"/>
      <c r="AW507" s="43"/>
      <c r="AX507" s="43"/>
      <c r="AY507" s="43"/>
      <c r="AZ507" s="43"/>
      <c r="BA507" s="43"/>
      <c r="BB507" s="43"/>
      <c r="BC507"/>
      <c r="BD507"/>
      <c r="BE507" s="46"/>
      <c r="BF507" s="521"/>
      <c r="BG507" s="521"/>
      <c r="BH507" s="43"/>
      <c r="BI507" s="43"/>
      <c r="BJ507" s="43"/>
      <c r="BK507" s="43"/>
      <c r="BL507" s="43"/>
      <c r="BM507" s="43"/>
      <c r="BN507" s="43"/>
      <c r="BO507" s="43"/>
      <c r="BP507" s="43"/>
      <c r="BQ507" s="43"/>
      <c r="BR507" s="43"/>
      <c r="CA507" s="62"/>
      <c r="CJ507" s="742">
        <v>0</v>
      </c>
      <c r="CK507" s="742">
        <v>0</v>
      </c>
      <c r="CL507" s="742">
        <v>0</v>
      </c>
      <c r="CM507" s="742">
        <v>0</v>
      </c>
      <c r="CN507" s="742">
        <v>0</v>
      </c>
      <c r="CO507" s="742">
        <v>0</v>
      </c>
    </row>
    <row r="508" spans="2:93">
      <c r="B508" s="61"/>
      <c r="AG508" s="44"/>
      <c r="BC508"/>
      <c r="BD508"/>
      <c r="BE508" s="44"/>
      <c r="BF508" s="519"/>
      <c r="BG508" s="519"/>
      <c r="CA508" s="62"/>
      <c r="CJ508" s="742">
        <v>0</v>
      </c>
      <c r="CK508" s="742">
        <v>0</v>
      </c>
      <c r="CL508" s="742">
        <v>0</v>
      </c>
      <c r="CM508" s="742">
        <v>0</v>
      </c>
      <c r="CN508" s="742">
        <v>0</v>
      </c>
      <c r="CO508" s="742">
        <v>0</v>
      </c>
    </row>
    <row r="509" spans="2:93">
      <c r="B509" s="61"/>
      <c r="BC509"/>
      <c r="BD509"/>
      <c r="BE509" s="44"/>
      <c r="BF509" s="519"/>
      <c r="BG509" s="519"/>
      <c r="CA509" s="62"/>
      <c r="CJ509" s="742">
        <v>0</v>
      </c>
      <c r="CK509" s="742">
        <v>0</v>
      </c>
      <c r="CL509" s="742">
        <v>0</v>
      </c>
      <c r="CM509" s="742">
        <v>0</v>
      </c>
      <c r="CN509" s="742">
        <v>0</v>
      </c>
      <c r="CO509" s="742">
        <v>0</v>
      </c>
    </row>
    <row r="510" spans="2:93">
      <c r="B510" s="61"/>
      <c r="BC510"/>
      <c r="BD510"/>
      <c r="BE510" s="44"/>
      <c r="BF510" s="519"/>
      <c r="BG510" s="519"/>
      <c r="CA510" s="62"/>
      <c r="CJ510" s="742">
        <v>0</v>
      </c>
      <c r="CK510" s="742">
        <v>0</v>
      </c>
      <c r="CL510" s="742">
        <v>0</v>
      </c>
      <c r="CM510" s="742">
        <v>0</v>
      </c>
      <c r="CN510" s="742">
        <v>0</v>
      </c>
      <c r="CO510" s="742">
        <v>0</v>
      </c>
    </row>
    <row r="511" spans="2:93">
      <c r="B511" s="61"/>
      <c r="G511" s="44"/>
      <c r="H511" s="44"/>
      <c r="AG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C511" s="44"/>
      <c r="BD511" s="44"/>
      <c r="BE511" s="44"/>
      <c r="BF511" s="520"/>
      <c r="BG511" s="519"/>
      <c r="CA511" s="62"/>
      <c r="CJ511" s="742">
        <v>0</v>
      </c>
      <c r="CK511" s="742">
        <v>0</v>
      </c>
      <c r="CL511" s="742">
        <v>0</v>
      </c>
      <c r="CM511" s="742">
        <v>0</v>
      </c>
      <c r="CN511" s="742">
        <v>0</v>
      </c>
      <c r="CO511" s="742">
        <v>0</v>
      </c>
    </row>
    <row r="512" spans="2:93">
      <c r="B512" s="61"/>
      <c r="G512" s="44"/>
      <c r="H512" s="44"/>
      <c r="AG512" s="44"/>
      <c r="AH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C512" s="44"/>
      <c r="BD512" s="44"/>
      <c r="BE512" s="44"/>
      <c r="BF512" s="520"/>
      <c r="BG512" s="519"/>
      <c r="CA512" s="62"/>
      <c r="CJ512" s="742">
        <v>0</v>
      </c>
      <c r="CK512" s="742">
        <v>0</v>
      </c>
      <c r="CL512" s="742">
        <v>0</v>
      </c>
      <c r="CM512" s="742">
        <v>0</v>
      </c>
      <c r="CN512" s="742">
        <v>0</v>
      </c>
      <c r="CO512" s="742">
        <v>0</v>
      </c>
    </row>
    <row r="513" spans="2:93">
      <c r="B513" s="61"/>
      <c r="G513" s="44"/>
      <c r="H513" s="44"/>
      <c r="Z513" s="44"/>
      <c r="AG513" s="44"/>
      <c r="AH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C513" s="44"/>
      <c r="BD513" s="44"/>
      <c r="BE513" s="44"/>
      <c r="BF513" s="519"/>
      <c r="BG513" s="519"/>
      <c r="CA513" s="62"/>
      <c r="CJ513" s="742">
        <v>0</v>
      </c>
      <c r="CK513" s="742">
        <v>0</v>
      </c>
      <c r="CL513" s="742">
        <v>0</v>
      </c>
      <c r="CM513" s="742">
        <v>0</v>
      </c>
      <c r="CN513" s="742">
        <v>0</v>
      </c>
      <c r="CO513" s="742">
        <v>0</v>
      </c>
    </row>
    <row r="514" spans="2:93">
      <c r="B514" s="61"/>
      <c r="G514" s="44"/>
      <c r="H514" s="44"/>
      <c r="Z514" s="44"/>
      <c r="AH514" s="44"/>
      <c r="AK514" s="44"/>
      <c r="AL514" s="44"/>
      <c r="BA514" s="44"/>
      <c r="BC514"/>
      <c r="BD514"/>
      <c r="BE514" s="44"/>
      <c r="BF514" s="519"/>
      <c r="BG514" s="519"/>
      <c r="CA514" s="62"/>
      <c r="CJ514" s="742">
        <v>0</v>
      </c>
      <c r="CK514" s="742">
        <v>0</v>
      </c>
      <c r="CL514" s="742">
        <v>0</v>
      </c>
      <c r="CM514" s="742">
        <v>0</v>
      </c>
      <c r="CN514" s="742">
        <v>0</v>
      </c>
      <c r="CO514" s="742">
        <v>0</v>
      </c>
    </row>
    <row r="515" spans="2:93" s="43" customFormat="1">
      <c r="B515" s="61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 s="519"/>
      <c r="BG515" s="519"/>
      <c r="BH515"/>
      <c r="BI515"/>
      <c r="BJ515"/>
      <c r="BK515"/>
      <c r="BL515"/>
      <c r="BM515"/>
      <c r="BN515"/>
      <c r="BO515"/>
      <c r="BP515"/>
      <c r="BQ515"/>
      <c r="BR515"/>
      <c r="CA515" s="346"/>
      <c r="CJ515" s="742">
        <v>0</v>
      </c>
      <c r="CK515" s="742">
        <v>0</v>
      </c>
      <c r="CL515" s="742">
        <v>0</v>
      </c>
      <c r="CM515" s="742">
        <v>0</v>
      </c>
      <c r="CN515" s="742">
        <v>0</v>
      </c>
      <c r="CO515" s="742">
        <v>0</v>
      </c>
    </row>
    <row r="516" spans="2:93">
      <c r="B516" s="61"/>
      <c r="BC516"/>
      <c r="BD516"/>
      <c r="BF516" s="519"/>
      <c r="BG516" s="519"/>
      <c r="CA516" s="62"/>
      <c r="CJ516" s="742">
        <v>213827.59250000099</v>
      </c>
      <c r="CK516" s="742">
        <v>4755.2429204179798</v>
      </c>
      <c r="CL516" s="742">
        <v>209071.56673827901</v>
      </c>
      <c r="CM516" s="742">
        <v>27487.647237676301</v>
      </c>
      <c r="CN516" s="742">
        <v>14409.2789812439</v>
      </c>
      <c r="CO516" s="742">
        <v>17833.611176850402</v>
      </c>
    </row>
    <row r="517" spans="2:93">
      <c r="B517" s="61"/>
      <c r="BC517"/>
      <c r="BD517"/>
      <c r="BF517" s="519"/>
      <c r="BG517" s="519"/>
      <c r="CA517" s="62"/>
      <c r="CJ517" s="742">
        <v>7836.1875619500397</v>
      </c>
      <c r="CK517" s="742">
        <v>7835.9370017418696</v>
      </c>
      <c r="CL517" s="742">
        <v>0.25056003501396501</v>
      </c>
      <c r="CM517" s="742">
        <v>0</v>
      </c>
      <c r="CN517" s="742">
        <v>1.17322889804929</v>
      </c>
      <c r="CO517" s="742">
        <v>7834.7638569834699</v>
      </c>
    </row>
    <row r="518" spans="2:93">
      <c r="B518" s="182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  <c r="AO518" s="43"/>
      <c r="AP518" s="43"/>
      <c r="AQ518" s="43"/>
      <c r="AR518" s="43"/>
      <c r="AS518" s="43"/>
      <c r="AT518" s="43"/>
      <c r="AU518" s="43"/>
      <c r="AV518" s="43"/>
      <c r="AW518" s="43"/>
      <c r="AX518" s="43"/>
      <c r="AY518" s="43"/>
      <c r="AZ518" s="43"/>
      <c r="BA518" s="43"/>
      <c r="BB518" s="43"/>
      <c r="BC518"/>
      <c r="BD518"/>
      <c r="BE518" s="43"/>
      <c r="BF518" s="521"/>
      <c r="BG518" s="521"/>
      <c r="BH518" s="43"/>
      <c r="BI518" s="43"/>
      <c r="BJ518" s="43"/>
      <c r="BK518" s="43"/>
      <c r="BL518" s="43"/>
      <c r="BM518" s="43"/>
      <c r="BN518" s="43"/>
      <c r="BO518" s="43"/>
      <c r="BP518" s="43"/>
      <c r="BQ518" s="43"/>
      <c r="BR518" s="43"/>
      <c r="CA518" s="62"/>
      <c r="CJ518" s="753">
        <v>277696.76437500102</v>
      </c>
      <c r="CK518" s="753">
        <v>277460.28068301198</v>
      </c>
      <c r="CL518" s="753">
        <v>235.527475606613</v>
      </c>
      <c r="CM518" s="753">
        <v>0</v>
      </c>
      <c r="CN518" s="753">
        <v>254317.39178112199</v>
      </c>
      <c r="CO518" s="753">
        <v>23123.940506078401</v>
      </c>
    </row>
    <row r="519" spans="2:93">
      <c r="B519" s="61"/>
      <c r="BC519"/>
      <c r="BD519"/>
      <c r="BF519" s="519"/>
      <c r="BG519" s="519"/>
      <c r="CA519" s="62"/>
      <c r="CJ519" s="742">
        <v>0</v>
      </c>
      <c r="CK519" s="742">
        <v>0</v>
      </c>
      <c r="CL519" s="742">
        <v>0</v>
      </c>
      <c r="CM519" s="742">
        <v>0</v>
      </c>
      <c r="CN519" s="742">
        <v>0</v>
      </c>
      <c r="CO519" s="742">
        <v>0</v>
      </c>
    </row>
    <row r="520" spans="2:93">
      <c r="B520" s="61"/>
      <c r="BC520"/>
      <c r="BD520"/>
      <c r="BF520" s="752"/>
      <c r="BG520" s="752"/>
      <c r="CA520" s="62"/>
      <c r="CJ520" s="742">
        <v>42913.574693000097</v>
      </c>
      <c r="CK520" s="742">
        <v>42912.873957122698</v>
      </c>
      <c r="CL520" s="742">
        <v>0.70073492932229098</v>
      </c>
      <c r="CM520" s="742">
        <v>0</v>
      </c>
      <c r="CN520" s="742">
        <v>3.6339161334026602</v>
      </c>
      <c r="CO520" s="742">
        <v>42909.240725518503</v>
      </c>
    </row>
    <row r="521" spans="2:93">
      <c r="B521" s="61"/>
      <c r="BC521"/>
      <c r="BD521"/>
      <c r="BF521" s="519"/>
      <c r="BG521" s="519"/>
      <c r="CA521" s="62"/>
      <c r="CJ521" s="742"/>
      <c r="CK521" s="742"/>
      <c r="CL521" s="742"/>
      <c r="CM521" s="742"/>
      <c r="CN521" s="742"/>
      <c r="CO521" s="742"/>
    </row>
    <row r="522" spans="2:93">
      <c r="B522" s="61"/>
      <c r="P522" s="44"/>
      <c r="X522" s="44"/>
      <c r="Y522" s="44"/>
      <c r="AE522" s="44"/>
      <c r="AF522" s="44"/>
      <c r="BL522" s="44"/>
      <c r="BO522" s="44"/>
      <c r="BP522" s="44"/>
      <c r="BS522" s="44"/>
      <c r="BT522" s="44"/>
      <c r="BU522" s="44"/>
      <c r="CA522" s="62"/>
      <c r="CJ522" s="742">
        <v>0</v>
      </c>
      <c r="CK522" s="742">
        <v>0</v>
      </c>
      <c r="CL522" s="742">
        <v>0</v>
      </c>
      <c r="CM522" s="742">
        <v>1.1657636125750701E-3</v>
      </c>
      <c r="CN522" s="745">
        <v>7.7769355413868405E-9</v>
      </c>
      <c r="CO522" s="742">
        <v>3.49701701511934E-4</v>
      </c>
    </row>
    <row r="523" spans="2:93">
      <c r="B523" s="61"/>
      <c r="P523" s="44"/>
      <c r="X523" s="44"/>
      <c r="Y523" s="44"/>
      <c r="AE523" s="44"/>
      <c r="AF523" s="44"/>
      <c r="AI523" s="44"/>
      <c r="AJ523" s="44"/>
      <c r="BC523"/>
      <c r="BD523"/>
      <c r="BF523" s="519"/>
      <c r="BG523" s="519"/>
      <c r="BI523" s="44"/>
      <c r="BL523" s="44"/>
      <c r="BM523" s="44"/>
      <c r="BP523" s="44"/>
      <c r="BQ523" s="44"/>
      <c r="BR523" s="44"/>
      <c r="CA523" s="62"/>
      <c r="CJ523" s="742">
        <v>0</v>
      </c>
      <c r="CK523" s="742">
        <v>0</v>
      </c>
      <c r="CL523" s="742">
        <v>0</v>
      </c>
      <c r="CM523" s="742">
        <v>0</v>
      </c>
      <c r="CN523" s="742">
        <v>0</v>
      </c>
      <c r="CO523" s="742">
        <v>0</v>
      </c>
    </row>
    <row r="524" spans="2:93">
      <c r="B524" s="61"/>
      <c r="G524" s="44"/>
      <c r="H524" s="44"/>
      <c r="P524" s="44"/>
      <c r="X524" s="44"/>
      <c r="Y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  <c r="BC524" s="44"/>
      <c r="BD524" s="44"/>
      <c r="BE524" s="44"/>
      <c r="BF524" s="520"/>
      <c r="BG524" s="520"/>
      <c r="BL524" s="44"/>
      <c r="BS524" s="44"/>
      <c r="BT524" s="44"/>
      <c r="BU524" s="44"/>
      <c r="CA524" s="62"/>
      <c r="CJ524" s="742">
        <v>0</v>
      </c>
      <c r="CK524" s="742">
        <v>0</v>
      </c>
      <c r="CL524" s="742">
        <v>0</v>
      </c>
      <c r="CM524" s="742">
        <v>0</v>
      </c>
      <c r="CN524" s="742">
        <v>0</v>
      </c>
      <c r="CO524" s="742">
        <v>0</v>
      </c>
    </row>
    <row r="525" spans="2:93">
      <c r="B525" s="61"/>
      <c r="G525" s="44"/>
      <c r="H525" s="44"/>
      <c r="P525" s="44"/>
      <c r="X525" s="44"/>
      <c r="Y525" s="44"/>
      <c r="AG525" s="44"/>
      <c r="AH525" s="44"/>
      <c r="AM525" s="44"/>
      <c r="AN525" s="44"/>
      <c r="AO525" s="44"/>
      <c r="AP525" s="44"/>
      <c r="AQ525" s="44"/>
      <c r="AR525" s="44"/>
      <c r="AS525" s="44"/>
      <c r="BA525" s="44"/>
      <c r="BC525"/>
      <c r="BD525"/>
      <c r="BE525" s="44"/>
      <c r="BF525" s="520"/>
      <c r="BG525" s="520"/>
      <c r="BI525" s="44"/>
      <c r="BP525" s="44"/>
      <c r="BR525" s="44"/>
      <c r="CA525" s="62"/>
      <c r="CJ525" s="742">
        <v>0</v>
      </c>
      <c r="CK525" s="742">
        <v>0</v>
      </c>
      <c r="CL525" s="742">
        <v>0</v>
      </c>
      <c r="CM525" s="742">
        <v>0</v>
      </c>
      <c r="CN525" s="742">
        <v>0</v>
      </c>
      <c r="CO525" s="742">
        <v>0</v>
      </c>
    </row>
    <row r="526" spans="2:93">
      <c r="B526" s="61"/>
      <c r="G526" s="44"/>
      <c r="H526" s="44"/>
      <c r="P526" s="44"/>
      <c r="T526" s="44"/>
      <c r="X526" s="44"/>
      <c r="Y526" s="44"/>
      <c r="AG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44"/>
      <c r="AY526" s="44"/>
      <c r="AZ526" s="44"/>
      <c r="BA526" s="44"/>
      <c r="BC526" s="44"/>
      <c r="BD526" s="44"/>
      <c r="BE526" s="44"/>
      <c r="BF526" s="520"/>
      <c r="BG526" s="520"/>
      <c r="BL526" s="44"/>
      <c r="BS526" s="44"/>
      <c r="BT526" s="44"/>
      <c r="BU526" s="44"/>
      <c r="CA526" s="62"/>
      <c r="CJ526" s="742">
        <v>0</v>
      </c>
      <c r="CK526" s="742">
        <v>0</v>
      </c>
      <c r="CL526" s="742">
        <v>0</v>
      </c>
      <c r="CM526" s="742">
        <v>0</v>
      </c>
      <c r="CN526" s="742">
        <v>0</v>
      </c>
      <c r="CO526" s="742">
        <v>0</v>
      </c>
    </row>
    <row r="527" spans="2:93">
      <c r="B527" s="61"/>
      <c r="G527" s="44"/>
      <c r="H527" s="44"/>
      <c r="P527" s="44"/>
      <c r="T527" s="44"/>
      <c r="X527" s="44"/>
      <c r="Y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C527"/>
      <c r="BD527"/>
      <c r="BE527" s="44"/>
      <c r="BF527" s="519"/>
      <c r="BG527" s="519"/>
      <c r="BI527" s="44"/>
      <c r="BP527" s="44"/>
      <c r="BQ527" s="44"/>
      <c r="BR527" s="44"/>
      <c r="CA527" s="62"/>
      <c r="CJ527" s="742">
        <v>0</v>
      </c>
      <c r="CK527" s="742">
        <v>0</v>
      </c>
      <c r="CL527" s="742">
        <v>0</v>
      </c>
      <c r="CM527" s="742">
        <v>0</v>
      </c>
      <c r="CN527" s="742">
        <v>0</v>
      </c>
      <c r="CO527" s="742">
        <v>0</v>
      </c>
    </row>
    <row r="528" spans="2:93">
      <c r="B528" s="61"/>
      <c r="G528" s="44"/>
      <c r="H528" s="44"/>
      <c r="P528" s="44"/>
      <c r="AG528" s="44"/>
      <c r="AH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  <c r="AY528" s="44"/>
      <c r="AZ528" s="44"/>
      <c r="BA528" s="44"/>
      <c r="BC528" s="44"/>
      <c r="BD528" s="44"/>
      <c r="BE528" s="44"/>
      <c r="BF528" s="520"/>
      <c r="BG528" s="519"/>
      <c r="CA528" s="62"/>
      <c r="CJ528" s="742">
        <v>0</v>
      </c>
      <c r="CK528" s="742">
        <v>0</v>
      </c>
      <c r="CL528" s="742">
        <v>0</v>
      </c>
      <c r="CM528" s="742">
        <v>0</v>
      </c>
      <c r="CN528" s="742">
        <v>0</v>
      </c>
      <c r="CO528" s="742">
        <v>0</v>
      </c>
    </row>
    <row r="529" spans="2:93">
      <c r="B529" s="61"/>
      <c r="G529" s="44"/>
      <c r="H529" s="44"/>
      <c r="Z529" s="44"/>
      <c r="AB529" s="44"/>
      <c r="AC529" s="44"/>
      <c r="AD529" s="44"/>
      <c r="AE529" s="44"/>
      <c r="AF529" s="44"/>
      <c r="AG529" s="44"/>
      <c r="AH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  <c r="AX529" s="44"/>
      <c r="AY529" s="44"/>
      <c r="AZ529" s="44"/>
      <c r="BA529" s="44"/>
      <c r="BC529" s="44"/>
      <c r="BD529" s="44"/>
      <c r="BE529" s="44"/>
      <c r="BF529" s="520"/>
      <c r="BG529" s="519"/>
      <c r="BO529" s="44"/>
      <c r="BP529" s="44"/>
      <c r="BQ529" s="44"/>
      <c r="BR529" s="44"/>
      <c r="CA529" s="62"/>
      <c r="CJ529" s="742">
        <v>0</v>
      </c>
      <c r="CK529" s="742">
        <v>0</v>
      </c>
      <c r="CL529" s="742">
        <v>0</v>
      </c>
      <c r="CM529" s="742">
        <v>0</v>
      </c>
      <c r="CN529" s="742">
        <v>0</v>
      </c>
      <c r="CO529" s="742">
        <v>0</v>
      </c>
    </row>
    <row r="530" spans="2:93">
      <c r="B530" s="61"/>
      <c r="G530" s="44"/>
      <c r="H530" s="44"/>
      <c r="Z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C530" s="44"/>
      <c r="BD530" s="44"/>
      <c r="BE530" s="44"/>
      <c r="BF530" s="519"/>
      <c r="BG530" s="519"/>
      <c r="BL530" s="44"/>
      <c r="BM530" s="44"/>
      <c r="BN530" s="44"/>
      <c r="BO530" s="44"/>
      <c r="BP530" s="44"/>
      <c r="BQ530" s="44"/>
      <c r="BR530" s="44"/>
      <c r="CA530" s="62"/>
      <c r="CJ530" s="742">
        <v>0</v>
      </c>
      <c r="CK530" s="742">
        <v>0</v>
      </c>
      <c r="CL530" s="742">
        <v>0</v>
      </c>
      <c r="CM530" s="742">
        <v>0</v>
      </c>
      <c r="CN530" s="742">
        <v>0</v>
      </c>
      <c r="CO530" s="742">
        <v>0</v>
      </c>
    </row>
    <row r="531" spans="2:93">
      <c r="B531" s="61"/>
      <c r="G531" s="44"/>
      <c r="H531" s="44"/>
      <c r="U531" s="44"/>
      <c r="V531" s="44"/>
      <c r="Z531" s="44"/>
      <c r="AB531" s="44"/>
      <c r="AC531" s="44"/>
      <c r="AD531" s="44"/>
      <c r="AE531" s="44"/>
      <c r="AF531" s="44"/>
      <c r="AH531" s="44"/>
      <c r="AI531" s="44"/>
      <c r="AJ531" s="44"/>
      <c r="AK531" s="44"/>
      <c r="AL531" s="44"/>
      <c r="BA531" s="44"/>
      <c r="BC531"/>
      <c r="BD531"/>
      <c r="BE531" s="44"/>
      <c r="BF531" s="519"/>
      <c r="BG531" s="519"/>
      <c r="BL531" s="44"/>
      <c r="BM531" s="44"/>
      <c r="BN531" s="44"/>
      <c r="BO531" s="44"/>
      <c r="CA531" s="62"/>
      <c r="CJ531" s="742">
        <v>0</v>
      </c>
      <c r="CK531" s="742">
        <v>0</v>
      </c>
      <c r="CL531" s="742">
        <v>0</v>
      </c>
      <c r="CM531" s="742">
        <v>0</v>
      </c>
      <c r="CN531" s="742">
        <v>0</v>
      </c>
      <c r="CO531" s="742">
        <v>0</v>
      </c>
    </row>
    <row r="532" spans="2:93">
      <c r="B532" s="61"/>
      <c r="BC532"/>
      <c r="BD532"/>
      <c r="BF532" s="519"/>
      <c r="BG532" s="519"/>
      <c r="CA532" s="62"/>
      <c r="CJ532" s="742">
        <v>0</v>
      </c>
      <c r="CK532" s="742">
        <v>0</v>
      </c>
      <c r="CL532" s="742">
        <v>0</v>
      </c>
      <c r="CM532" s="742">
        <v>0</v>
      </c>
      <c r="CN532" s="742">
        <v>0</v>
      </c>
      <c r="CO532" s="742">
        <v>0</v>
      </c>
    </row>
    <row r="533" spans="2:93">
      <c r="B533" s="61"/>
      <c r="BC533"/>
      <c r="BD533"/>
      <c r="BF533" s="519"/>
      <c r="BG533" s="519"/>
      <c r="CA533" s="62"/>
      <c r="CJ533" s="742">
        <v>0.39431642587530302</v>
      </c>
      <c r="CK533" s="742">
        <v>1.4281538371576899E-2</v>
      </c>
      <c r="CL533" s="742">
        <v>0.99886188872708104</v>
      </c>
      <c r="CM533" s="742">
        <v>0.99883423638742497</v>
      </c>
      <c r="CN533" s="742">
        <v>5.36196168062947E-2</v>
      </c>
      <c r="CO533" s="742">
        <v>0.194406457847632</v>
      </c>
    </row>
    <row r="534" spans="2:93">
      <c r="B534" s="61"/>
      <c r="BC534"/>
      <c r="BD534"/>
      <c r="BF534" s="519"/>
      <c r="BG534" s="519"/>
      <c r="CA534" s="62"/>
      <c r="CJ534" s="742">
        <v>1.44506021687385E-2</v>
      </c>
      <c r="CK534" s="742">
        <v>2.3533862904694499E-2</v>
      </c>
      <c r="CL534" s="745">
        <v>1.19707750660745E-6</v>
      </c>
      <c r="CM534" s="742">
        <v>0</v>
      </c>
      <c r="CN534" s="745">
        <v>4.3658037311485E-6</v>
      </c>
      <c r="CO534" s="742">
        <v>8.5407754739318706E-2</v>
      </c>
    </row>
    <row r="535" spans="2:93">
      <c r="B535" s="61"/>
      <c r="BC535"/>
      <c r="BD535"/>
      <c r="BF535" s="519"/>
      <c r="BG535" s="519"/>
      <c r="CA535" s="62"/>
      <c r="CJ535" s="753">
        <v>0.51209665845854802</v>
      </c>
      <c r="CK535" s="753">
        <v>0.83330330573619404</v>
      </c>
      <c r="CL535" s="753">
        <v>1.12525783779124E-3</v>
      </c>
      <c r="CM535" s="753">
        <v>0</v>
      </c>
      <c r="CN535" s="753">
        <v>0.94636248713277904</v>
      </c>
      <c r="CO535" s="753">
        <v>0.252077009007664</v>
      </c>
    </row>
    <row r="536" spans="2:93">
      <c r="B536" s="61"/>
      <c r="BC536"/>
      <c r="BD536"/>
      <c r="BF536" s="519"/>
      <c r="BG536" s="519"/>
      <c r="BI536" s="44"/>
      <c r="BK536" s="44"/>
      <c r="CA536" s="62"/>
      <c r="CJ536" s="742">
        <v>0</v>
      </c>
      <c r="CK536" s="742">
        <v>0</v>
      </c>
      <c r="CL536" s="742">
        <v>0</v>
      </c>
      <c r="CM536" s="742">
        <v>0</v>
      </c>
      <c r="CN536" s="742">
        <v>0</v>
      </c>
      <c r="CO536" s="742">
        <v>0</v>
      </c>
    </row>
    <row r="537" spans="2:93">
      <c r="B537" s="61"/>
      <c r="BC537"/>
      <c r="BD537"/>
      <c r="BF537" s="519"/>
      <c r="BG537" s="520"/>
      <c r="BH537" s="44"/>
      <c r="CA537" s="62"/>
      <c r="CJ537" s="742">
        <v>7.9136313497410807E-2</v>
      </c>
      <c r="CK537" s="742">
        <v>0.12888129298753501</v>
      </c>
      <c r="CL537" s="745">
        <v>3.34783646537695E-6</v>
      </c>
      <c r="CM537" s="742">
        <v>0</v>
      </c>
      <c r="CN537" s="745">
        <v>1.35224802596224E-5</v>
      </c>
      <c r="CO537" s="742">
        <v>0.46775907670387401</v>
      </c>
    </row>
    <row r="538" spans="2:93">
      <c r="B538" s="61"/>
      <c r="D538" s="168"/>
      <c r="F538" s="44"/>
      <c r="BC538"/>
      <c r="BD538"/>
      <c r="BF538" s="519"/>
      <c r="BG538" s="519"/>
      <c r="CA538" s="62"/>
      <c r="CJ538" s="742">
        <v>30717176.5633469</v>
      </c>
      <c r="CK538" s="742">
        <v>3390261.3890740601</v>
      </c>
      <c r="CL538" s="742">
        <v>3500.0451404126902</v>
      </c>
      <c r="CM538" s="742">
        <v>462.21678874280599</v>
      </c>
      <c r="CN538" s="742">
        <v>1600013.25436584</v>
      </c>
      <c r="CO538" s="742">
        <v>1570378.1532119401</v>
      </c>
    </row>
    <row r="539" spans="2:93">
      <c r="B539" s="61" t="s">
        <v>89</v>
      </c>
      <c r="BC539"/>
      <c r="BD539"/>
      <c r="BU539" s="742"/>
      <c r="BV539" s="742"/>
      <c r="BW539" s="742"/>
      <c r="BX539" s="742"/>
      <c r="BY539" s="742"/>
      <c r="BZ539" s="742"/>
      <c r="CA539" s="62"/>
    </row>
    <row r="540" spans="2:93">
      <c r="B540" s="61" t="s">
        <v>123</v>
      </c>
      <c r="BC540"/>
      <c r="BD540"/>
      <c r="BU540" s="742"/>
      <c r="BV540" s="742"/>
      <c r="BW540" s="742"/>
      <c r="BX540" s="742"/>
      <c r="BY540" s="742"/>
      <c r="BZ540" s="742"/>
      <c r="CA540" s="62"/>
    </row>
    <row r="541" spans="2:93" ht="17.25" thickBot="1">
      <c r="B541" s="74" t="s">
        <v>124</v>
      </c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  <c r="AD541" s="75"/>
      <c r="AE541" s="75"/>
      <c r="AF541" s="75"/>
      <c r="AG541" s="75"/>
      <c r="AH541" s="75"/>
      <c r="AI541" s="75"/>
      <c r="AJ541" s="75"/>
      <c r="AK541" s="75"/>
      <c r="AL541" s="75"/>
      <c r="AM541" s="75"/>
      <c r="AN541" s="75"/>
      <c r="AO541" s="75"/>
      <c r="AP541" s="75"/>
      <c r="AQ541" s="75"/>
      <c r="AR541" s="75"/>
      <c r="AS541" s="75"/>
      <c r="AT541" s="75"/>
      <c r="AU541" s="75"/>
      <c r="AV541" s="75"/>
      <c r="AW541" s="75"/>
      <c r="AX541" s="75"/>
      <c r="AY541" s="75"/>
      <c r="AZ541" s="75"/>
      <c r="BA541" s="75"/>
      <c r="BB541" s="75"/>
      <c r="BC541" s="75"/>
      <c r="BD541" s="75"/>
      <c r="BE541" s="75"/>
      <c r="BF541" s="75"/>
      <c r="BG541" s="75"/>
      <c r="BH541" s="75"/>
      <c r="BI541" s="75"/>
      <c r="BJ541" s="75"/>
      <c r="BK541" s="75"/>
      <c r="BL541" s="75"/>
      <c r="BM541" s="75"/>
      <c r="BN541" s="75"/>
      <c r="BO541" s="75"/>
      <c r="BP541" s="75"/>
      <c r="BQ541" s="75"/>
      <c r="BR541" s="75"/>
      <c r="BS541" s="75"/>
      <c r="BT541" s="75"/>
      <c r="BU541" s="746"/>
      <c r="BV541" s="746"/>
      <c r="BW541" s="746"/>
      <c r="BX541" s="746"/>
      <c r="BY541" s="746"/>
      <c r="BZ541" s="746"/>
      <c r="CA541" s="76"/>
    </row>
    <row r="542" spans="2:93">
      <c r="BC542"/>
      <c r="BD542"/>
    </row>
    <row r="543" spans="2:93">
      <c r="BC543"/>
      <c r="BD543"/>
    </row>
    <row r="544" spans="2:93">
      <c r="BC544"/>
      <c r="BD544"/>
    </row>
    <row r="545" spans="1:56">
      <c r="A545" s="311" t="s">
        <v>1032</v>
      </c>
      <c r="BC545"/>
      <c r="BD545"/>
    </row>
    <row r="546" spans="1:56">
      <c r="BC546"/>
      <c r="BD546"/>
    </row>
    <row r="547" spans="1:56">
      <c r="BC547"/>
      <c r="BD547"/>
    </row>
    <row r="548" spans="1:56">
      <c r="BC548"/>
      <c r="BD548"/>
    </row>
    <row r="549" spans="1:56">
      <c r="BC549"/>
      <c r="BD549"/>
    </row>
    <row r="550" spans="1:56">
      <c r="BC550"/>
      <c r="BD550"/>
    </row>
    <row r="551" spans="1:56">
      <c r="BC551"/>
      <c r="BD551"/>
    </row>
    <row r="552" spans="1:56">
      <c r="BC552"/>
      <c r="BD552"/>
    </row>
    <row r="553" spans="1:56">
      <c r="BC553"/>
      <c r="BD553"/>
    </row>
    <row r="554" spans="1:56">
      <c r="BC554"/>
      <c r="BD554"/>
    </row>
    <row r="555" spans="1:56">
      <c r="BC555"/>
      <c r="BD555"/>
    </row>
    <row r="556" spans="1:56">
      <c r="BC556"/>
      <c r="BD556"/>
    </row>
    <row r="557" spans="1:56">
      <c r="BC557"/>
      <c r="BD557"/>
    </row>
    <row r="558" spans="1:56">
      <c r="BC558"/>
      <c r="BD558"/>
    </row>
    <row r="559" spans="1:56">
      <c r="BC559"/>
      <c r="BD559"/>
    </row>
    <row r="560" spans="1:56">
      <c r="BC560"/>
      <c r="BD560"/>
    </row>
    <row r="561" spans="2:89">
      <c r="BC561"/>
      <c r="BD561"/>
    </row>
    <row r="562" spans="2:89">
      <c r="BC562"/>
      <c r="BD562"/>
    </row>
    <row r="563" spans="2:89">
      <c r="BC563"/>
      <c r="BD563"/>
    </row>
    <row r="564" spans="2:89">
      <c r="BC564"/>
      <c r="BD564"/>
    </row>
    <row r="565" spans="2:89">
      <c r="BC565"/>
      <c r="BD565"/>
    </row>
    <row r="566" spans="2:89">
      <c r="BC566"/>
      <c r="BD566"/>
    </row>
    <row r="567" spans="2:89">
      <c r="BC567"/>
      <c r="BD567"/>
    </row>
    <row r="568" spans="2:89" ht="17.25" thickBot="1">
      <c r="BC568"/>
      <c r="BD568"/>
    </row>
    <row r="569" spans="2:89">
      <c r="B569" s="338"/>
      <c r="C569" s="170" t="s">
        <v>76</v>
      </c>
      <c r="D569" s="170" t="s">
        <v>138</v>
      </c>
      <c r="E569" s="170" t="s">
        <v>139</v>
      </c>
      <c r="F569" s="170">
        <v>3</v>
      </c>
      <c r="G569" s="170">
        <v>4</v>
      </c>
      <c r="H569" s="170">
        <v>5</v>
      </c>
      <c r="I569" s="170">
        <v>6</v>
      </c>
      <c r="J569" s="170">
        <v>7</v>
      </c>
      <c r="K569" s="170">
        <v>8</v>
      </c>
      <c r="L569" s="170">
        <v>9</v>
      </c>
      <c r="M569" s="170">
        <v>10</v>
      </c>
      <c r="N569" s="170">
        <v>11</v>
      </c>
      <c r="O569" s="170" t="s">
        <v>140</v>
      </c>
      <c r="P569" s="170">
        <v>13</v>
      </c>
      <c r="Q569" s="793">
        <v>45304</v>
      </c>
      <c r="R569" s="793">
        <v>45335</v>
      </c>
      <c r="S569" s="793">
        <v>45364</v>
      </c>
      <c r="T569" s="170">
        <v>14</v>
      </c>
      <c r="U569" s="170">
        <v>15</v>
      </c>
      <c r="V569" s="340">
        <v>16</v>
      </c>
      <c r="W569" s="170">
        <v>17</v>
      </c>
      <c r="X569" s="170">
        <v>18</v>
      </c>
      <c r="Y569" s="170">
        <v>19</v>
      </c>
      <c r="Z569" s="793">
        <v>45310</v>
      </c>
      <c r="AA569" s="170" t="s">
        <v>573</v>
      </c>
      <c r="AB569" s="170" t="s">
        <v>812</v>
      </c>
      <c r="AC569" s="170">
        <v>21</v>
      </c>
      <c r="AD569" s="170" t="s">
        <v>813</v>
      </c>
      <c r="AE569" s="170">
        <v>22</v>
      </c>
      <c r="AF569" s="170">
        <v>24</v>
      </c>
      <c r="AG569" s="170">
        <v>25</v>
      </c>
      <c r="AH569" s="793">
        <v>45316</v>
      </c>
      <c r="AI569" s="793">
        <v>45317</v>
      </c>
      <c r="AJ569" s="170" t="s">
        <v>814</v>
      </c>
      <c r="AK569" s="170" t="s">
        <v>815</v>
      </c>
      <c r="AL569" s="170" t="s">
        <v>574</v>
      </c>
      <c r="AM569" s="170" t="s">
        <v>816</v>
      </c>
      <c r="AN569" s="170" t="s">
        <v>796</v>
      </c>
      <c r="AO569" s="170" t="s">
        <v>817</v>
      </c>
      <c r="AP569" s="170">
        <v>29</v>
      </c>
      <c r="AQ569" s="792">
        <v>10990</v>
      </c>
      <c r="AR569" s="170">
        <v>31</v>
      </c>
      <c r="AS569" s="170">
        <v>32</v>
      </c>
      <c r="AT569" s="170">
        <v>33</v>
      </c>
      <c r="AU569" s="170">
        <v>34</v>
      </c>
      <c r="AV569" s="170">
        <v>35</v>
      </c>
      <c r="AW569" s="170" t="s">
        <v>1091</v>
      </c>
      <c r="AX569" s="170" t="s">
        <v>795</v>
      </c>
      <c r="AY569" s="170">
        <v>38</v>
      </c>
      <c r="AZ569" s="170">
        <v>39</v>
      </c>
      <c r="BA569" s="170">
        <v>40</v>
      </c>
      <c r="BB569" s="170">
        <v>41</v>
      </c>
      <c r="BC569" s="170">
        <v>42</v>
      </c>
      <c r="BD569" s="170">
        <v>44</v>
      </c>
      <c r="BE569" s="754" t="s">
        <v>818</v>
      </c>
      <c r="BF569" s="754">
        <v>45</v>
      </c>
      <c r="BG569" s="170" t="s">
        <v>819</v>
      </c>
      <c r="BH569" s="170">
        <v>46</v>
      </c>
      <c r="BI569" s="170" t="s">
        <v>1092</v>
      </c>
      <c r="BJ569" s="170">
        <v>48</v>
      </c>
      <c r="BK569" s="170" t="s">
        <v>1093</v>
      </c>
      <c r="BL569" s="170" t="s">
        <v>1094</v>
      </c>
      <c r="BM569" s="170" t="s">
        <v>1095</v>
      </c>
      <c r="BN569" s="170" t="s">
        <v>1096</v>
      </c>
      <c r="BO569" s="170" t="s">
        <v>1097</v>
      </c>
      <c r="BP569" s="170" t="s">
        <v>1098</v>
      </c>
      <c r="BQ569" s="170" t="s">
        <v>1099</v>
      </c>
      <c r="BR569" s="170" t="s">
        <v>1100</v>
      </c>
      <c r="BS569" s="170" t="s">
        <v>821</v>
      </c>
      <c r="BT569" s="170" t="s">
        <v>822</v>
      </c>
      <c r="BU569" t="s">
        <v>823</v>
      </c>
      <c r="BV569" t="s">
        <v>825</v>
      </c>
      <c r="BW569" t="s">
        <v>1101</v>
      </c>
      <c r="CA569" s="339"/>
      <c r="CF569" s="743">
        <v>49</v>
      </c>
      <c r="CG569" s="743">
        <v>50</v>
      </c>
      <c r="CH569" s="743" t="s">
        <v>1074</v>
      </c>
      <c r="CI569" s="743">
        <v>52</v>
      </c>
      <c r="CJ569" s="743" t="s">
        <v>1075</v>
      </c>
      <c r="CK569" s="743">
        <v>54</v>
      </c>
    </row>
    <row r="570" spans="2:89">
      <c r="B570" s="61" t="s">
        <v>77</v>
      </c>
      <c r="BC570"/>
      <c r="BD570"/>
      <c r="BE570" s="755"/>
      <c r="BF570" s="755"/>
      <c r="CA570" s="62"/>
      <c r="CF570" s="742"/>
      <c r="CG570" s="742"/>
      <c r="CH570" s="742"/>
      <c r="CI570" s="742"/>
      <c r="CJ570" s="742"/>
      <c r="CK570" s="742"/>
    </row>
    <row r="571" spans="2:89">
      <c r="B571" s="61" t="s">
        <v>78</v>
      </c>
      <c r="F571" t="s">
        <v>141</v>
      </c>
      <c r="G571" t="s">
        <v>144</v>
      </c>
      <c r="H571" t="s">
        <v>145</v>
      </c>
      <c r="I571" t="s">
        <v>144</v>
      </c>
      <c r="J571" t="s">
        <v>146</v>
      </c>
      <c r="K571" t="s">
        <v>148</v>
      </c>
      <c r="L571" t="s">
        <v>151</v>
      </c>
      <c r="M571" t="s">
        <v>147</v>
      </c>
      <c r="N571" t="s">
        <v>149</v>
      </c>
      <c r="O571" t="s">
        <v>149</v>
      </c>
      <c r="P571" t="s">
        <v>566</v>
      </c>
      <c r="Q571" t="s">
        <v>150</v>
      </c>
      <c r="R571" t="s">
        <v>150</v>
      </c>
      <c r="S571" t="s">
        <v>150</v>
      </c>
      <c r="T571" t="s">
        <v>150</v>
      </c>
      <c r="U571" t="s">
        <v>1024</v>
      </c>
      <c r="V571" t="s">
        <v>127</v>
      </c>
      <c r="W571" t="s">
        <v>127</v>
      </c>
      <c r="X571" t="s">
        <v>1023</v>
      </c>
      <c r="Y571" t="s">
        <v>125</v>
      </c>
      <c r="Z571" t="s">
        <v>569</v>
      </c>
      <c r="AA571" t="s">
        <v>154</v>
      </c>
      <c r="AB571" t="s">
        <v>828</v>
      </c>
      <c r="AC571" t="s">
        <v>154</v>
      </c>
      <c r="AD571" t="s">
        <v>828</v>
      </c>
      <c r="AE571" t="s">
        <v>125</v>
      </c>
      <c r="AF571" t="s">
        <v>163</v>
      </c>
      <c r="AG571" t="s">
        <v>79</v>
      </c>
      <c r="AH571" t="s">
        <v>567</v>
      </c>
      <c r="AI571" t="s">
        <v>568</v>
      </c>
      <c r="AJ571" t="s">
        <v>126</v>
      </c>
      <c r="AK571" t="s">
        <v>830</v>
      </c>
      <c r="AL571" t="s">
        <v>156</v>
      </c>
      <c r="AM571" t="s">
        <v>831</v>
      </c>
      <c r="AN571" t="s">
        <v>156</v>
      </c>
      <c r="AO571" t="s">
        <v>831</v>
      </c>
      <c r="AP571" t="s">
        <v>79</v>
      </c>
      <c r="AQ571" t="s">
        <v>1022</v>
      </c>
      <c r="AR571" t="s">
        <v>80</v>
      </c>
      <c r="AS571" t="s">
        <v>1022</v>
      </c>
      <c r="AT571" t="s">
        <v>163</v>
      </c>
      <c r="AU571" t="s">
        <v>1023</v>
      </c>
      <c r="AV571" t="s">
        <v>1024</v>
      </c>
      <c r="AW571" t="s">
        <v>161</v>
      </c>
      <c r="AX571" t="s">
        <v>161</v>
      </c>
      <c r="AY571" t="s">
        <v>80</v>
      </c>
      <c r="AZ571" t="s">
        <v>159</v>
      </c>
      <c r="BA571" t="s">
        <v>1022</v>
      </c>
      <c r="BB571" t="s">
        <v>163</v>
      </c>
      <c r="BC571" t="s">
        <v>1023</v>
      </c>
      <c r="BD571" t="s">
        <v>158</v>
      </c>
      <c r="BE571" s="755" t="s">
        <v>158</v>
      </c>
      <c r="BF571" s="755" t="s">
        <v>126</v>
      </c>
      <c r="BG571" t="s">
        <v>830</v>
      </c>
      <c r="BH571" t="s">
        <v>163</v>
      </c>
      <c r="BI571" t="s">
        <v>160</v>
      </c>
      <c r="BJ571" t="s">
        <v>160</v>
      </c>
      <c r="BM571" t="s">
        <v>145</v>
      </c>
      <c r="BN571" t="s">
        <v>145</v>
      </c>
      <c r="BO571" t="s">
        <v>1026</v>
      </c>
      <c r="BP571" t="s">
        <v>1026</v>
      </c>
      <c r="BR571" t="s">
        <v>148</v>
      </c>
      <c r="BS571" t="s">
        <v>569</v>
      </c>
      <c r="BT571" t="s">
        <v>1102</v>
      </c>
      <c r="BU571" t="s">
        <v>568</v>
      </c>
      <c r="BV571" t="s">
        <v>567</v>
      </c>
      <c r="BW571" t="s">
        <v>146</v>
      </c>
      <c r="CA571" s="62"/>
      <c r="CF571" s="742" t="s">
        <v>566</v>
      </c>
      <c r="CG571" s="742" t="s">
        <v>568</v>
      </c>
      <c r="CH571" s="742" t="s">
        <v>568</v>
      </c>
      <c r="CI571" s="742"/>
      <c r="CJ571" s="742" t="s">
        <v>1076</v>
      </c>
      <c r="CK571" s="742" t="s">
        <v>1077</v>
      </c>
    </row>
    <row r="572" spans="2:89">
      <c r="B572" s="61" t="s">
        <v>81</v>
      </c>
      <c r="D572" t="s">
        <v>141</v>
      </c>
      <c r="E572" t="s">
        <v>141</v>
      </c>
      <c r="F572" t="s">
        <v>144</v>
      </c>
      <c r="G572" t="s">
        <v>145</v>
      </c>
      <c r="H572" t="s">
        <v>144</v>
      </c>
      <c r="I572" t="s">
        <v>146</v>
      </c>
      <c r="J572" t="s">
        <v>148</v>
      </c>
      <c r="K572" t="s">
        <v>151</v>
      </c>
      <c r="L572" t="s">
        <v>147</v>
      </c>
      <c r="M572" t="s">
        <v>149</v>
      </c>
      <c r="N572" t="s">
        <v>150</v>
      </c>
      <c r="P572" t="s">
        <v>149</v>
      </c>
      <c r="Q572" t="s">
        <v>566</v>
      </c>
      <c r="R572" t="s">
        <v>566</v>
      </c>
      <c r="S572" t="s">
        <v>566</v>
      </c>
      <c r="T572" t="s">
        <v>1024</v>
      </c>
      <c r="U572" t="s">
        <v>127</v>
      </c>
      <c r="V572" t="s">
        <v>149</v>
      </c>
      <c r="W572" t="s">
        <v>1023</v>
      </c>
      <c r="X572" t="s">
        <v>125</v>
      </c>
      <c r="Y572" t="s">
        <v>569</v>
      </c>
      <c r="Z572" t="s">
        <v>154</v>
      </c>
      <c r="AC572" t="s">
        <v>125</v>
      </c>
      <c r="AE572" t="s">
        <v>163</v>
      </c>
      <c r="AF572" t="s">
        <v>79</v>
      </c>
      <c r="AG572" t="s">
        <v>567</v>
      </c>
      <c r="AH572" t="s">
        <v>126</v>
      </c>
      <c r="AI572" t="s">
        <v>156</v>
      </c>
      <c r="AJ572" t="s">
        <v>568</v>
      </c>
      <c r="AP572" t="s">
        <v>1022</v>
      </c>
      <c r="AQ572" t="s">
        <v>80</v>
      </c>
      <c r="AR572" t="s">
        <v>1022</v>
      </c>
      <c r="AS572" t="s">
        <v>163</v>
      </c>
      <c r="AT572" t="s">
        <v>1023</v>
      </c>
      <c r="AU572" t="s">
        <v>1024</v>
      </c>
      <c r="AV572" t="s">
        <v>161</v>
      </c>
      <c r="AW572" t="s">
        <v>141</v>
      </c>
      <c r="AX572" t="s">
        <v>1102</v>
      </c>
      <c r="AY572" t="s">
        <v>159</v>
      </c>
      <c r="AZ572" t="s">
        <v>1022</v>
      </c>
      <c r="BA572" t="s">
        <v>163</v>
      </c>
      <c r="BB572" t="s">
        <v>1023</v>
      </c>
      <c r="BC572" t="s">
        <v>158</v>
      </c>
      <c r="BD572"/>
      <c r="BE572" s="752" t="s">
        <v>141</v>
      </c>
      <c r="BF572" s="752" t="s">
        <v>163</v>
      </c>
      <c r="BH572" t="s">
        <v>160</v>
      </c>
      <c r="BI572" t="s">
        <v>141</v>
      </c>
      <c r="BK572" t="s">
        <v>145</v>
      </c>
      <c r="BL572" t="s">
        <v>145</v>
      </c>
      <c r="BP572" t="s">
        <v>141</v>
      </c>
      <c r="BQ572" t="s">
        <v>148</v>
      </c>
      <c r="BR572" t="s">
        <v>146</v>
      </c>
      <c r="BS572" t="s">
        <v>828</v>
      </c>
      <c r="BT572" t="s">
        <v>1026</v>
      </c>
      <c r="BU572" t="s">
        <v>831</v>
      </c>
      <c r="BV572" t="s">
        <v>830</v>
      </c>
      <c r="CA572" s="62"/>
      <c r="CF572" s="742" t="s">
        <v>928</v>
      </c>
      <c r="CG572" s="742" t="s">
        <v>1077</v>
      </c>
      <c r="CH572" s="742"/>
      <c r="CI572" s="742" t="s">
        <v>1072</v>
      </c>
      <c r="CJ572" s="742"/>
      <c r="CK572" s="742"/>
    </row>
    <row r="573" spans="2:89">
      <c r="B573" s="61" t="s">
        <v>82</v>
      </c>
      <c r="D573" t="s">
        <v>83</v>
      </c>
      <c r="E573" t="s">
        <v>83</v>
      </c>
      <c r="F573" t="s">
        <v>83</v>
      </c>
      <c r="G573" t="s">
        <v>83</v>
      </c>
      <c r="H573" t="s">
        <v>83</v>
      </c>
      <c r="I573" t="s">
        <v>83</v>
      </c>
      <c r="J573" t="s">
        <v>83</v>
      </c>
      <c r="K573" t="s">
        <v>83</v>
      </c>
      <c r="L573" t="s">
        <v>83</v>
      </c>
      <c r="M573" t="s">
        <v>83</v>
      </c>
      <c r="N573" t="s">
        <v>83</v>
      </c>
      <c r="O573" t="s">
        <v>83</v>
      </c>
      <c r="P573" t="s">
        <v>83</v>
      </c>
      <c r="Q573" t="s">
        <v>83</v>
      </c>
      <c r="R573" t="s">
        <v>83</v>
      </c>
      <c r="S573" t="s">
        <v>83</v>
      </c>
      <c r="T573" t="s">
        <v>83</v>
      </c>
      <c r="U573" t="s">
        <v>83</v>
      </c>
      <c r="V573" t="s">
        <v>83</v>
      </c>
      <c r="W573" t="s">
        <v>83</v>
      </c>
      <c r="X573" t="s">
        <v>83</v>
      </c>
      <c r="Y573" t="s">
        <v>83</v>
      </c>
      <c r="Z573" t="s">
        <v>83</v>
      </c>
      <c r="AA573" t="s">
        <v>83</v>
      </c>
      <c r="AB573" t="s">
        <v>83</v>
      </c>
      <c r="AC573" t="s">
        <v>83</v>
      </c>
      <c r="AD573" t="s">
        <v>83</v>
      </c>
      <c r="AE573" t="s">
        <v>83</v>
      </c>
      <c r="AF573" t="s">
        <v>83</v>
      </c>
      <c r="AG573" t="s">
        <v>83</v>
      </c>
      <c r="AH573" t="s">
        <v>83</v>
      </c>
      <c r="AI573" t="s">
        <v>83</v>
      </c>
      <c r="AJ573" t="s">
        <v>83</v>
      </c>
      <c r="AL573" t="s">
        <v>83</v>
      </c>
      <c r="AM573" t="s">
        <v>83</v>
      </c>
      <c r="AN573" t="s">
        <v>83</v>
      </c>
      <c r="AO573" t="s">
        <v>83</v>
      </c>
      <c r="AP573" t="s">
        <v>83</v>
      </c>
      <c r="AQ573" t="s">
        <v>83</v>
      </c>
      <c r="AR573" t="s">
        <v>83</v>
      </c>
      <c r="AS573" t="s">
        <v>83</v>
      </c>
      <c r="AT573" t="s">
        <v>83</v>
      </c>
      <c r="AU573" t="s">
        <v>83</v>
      </c>
      <c r="AV573" t="s">
        <v>83</v>
      </c>
      <c r="AW573" t="s">
        <v>83</v>
      </c>
      <c r="AX573" t="s">
        <v>83</v>
      </c>
      <c r="AY573" t="s">
        <v>83</v>
      </c>
      <c r="AZ573" t="s">
        <v>83</v>
      </c>
      <c r="BA573" t="s">
        <v>83</v>
      </c>
      <c r="BB573" t="s">
        <v>83</v>
      </c>
      <c r="BC573" t="s">
        <v>83</v>
      </c>
      <c r="BD573" t="s">
        <v>83</v>
      </c>
      <c r="BE573" s="755" t="s">
        <v>83</v>
      </c>
      <c r="BF573" s="755" t="s">
        <v>83</v>
      </c>
      <c r="BH573" t="s">
        <v>83</v>
      </c>
      <c r="BI573" t="s">
        <v>83</v>
      </c>
      <c r="BJ573" t="s">
        <v>83</v>
      </c>
      <c r="BK573" t="s">
        <v>83</v>
      </c>
      <c r="BL573" t="s">
        <v>83</v>
      </c>
      <c r="BM573" t="s">
        <v>83</v>
      </c>
      <c r="BN573" t="s">
        <v>83</v>
      </c>
      <c r="BO573" t="s">
        <v>83</v>
      </c>
      <c r="BP573" t="s">
        <v>83</v>
      </c>
      <c r="BQ573" t="s">
        <v>83</v>
      </c>
      <c r="BR573" t="s">
        <v>83</v>
      </c>
      <c r="BS573" t="s">
        <v>83</v>
      </c>
      <c r="BT573" t="s">
        <v>83</v>
      </c>
      <c r="BU573" t="s">
        <v>83</v>
      </c>
      <c r="BV573" t="s">
        <v>83</v>
      </c>
      <c r="BW573" t="s">
        <v>83</v>
      </c>
      <c r="CA573" s="62"/>
      <c r="CF573" s="742" t="s">
        <v>83</v>
      </c>
      <c r="CG573" s="742" t="s">
        <v>83</v>
      </c>
      <c r="CH573" s="742" t="s">
        <v>83</v>
      </c>
      <c r="CI573" s="742" t="s">
        <v>83</v>
      </c>
      <c r="CJ573" s="742" t="s">
        <v>83</v>
      </c>
      <c r="CK573" s="742" t="s">
        <v>83</v>
      </c>
    </row>
    <row r="574" spans="2:89">
      <c r="B574" s="61" t="s">
        <v>84</v>
      </c>
      <c r="N574" s="44">
        <v>7.9781661561242407E-5</v>
      </c>
      <c r="Y574" s="44">
        <v>2.6040095187807199E-5</v>
      </c>
      <c r="AR574" s="44">
        <v>2.54453224893042E-5</v>
      </c>
      <c r="BC574"/>
      <c r="BD574"/>
      <c r="BE574" s="755"/>
      <c r="BF574" s="755"/>
      <c r="BR574" s="44">
        <v>4.92954504986379E-6</v>
      </c>
      <c r="CA574" s="62"/>
      <c r="CF574" s="742"/>
      <c r="CG574" s="742"/>
      <c r="CH574" s="742"/>
      <c r="CI574" s="742"/>
      <c r="CJ574" s="742"/>
      <c r="CK574" s="742"/>
    </row>
    <row r="575" spans="2:89">
      <c r="B575" s="61" t="s">
        <v>85</v>
      </c>
      <c r="C575" t="s">
        <v>86</v>
      </c>
      <c r="D575">
        <v>81.925695656639903</v>
      </c>
      <c r="E575">
        <v>0</v>
      </c>
      <c r="O575">
        <v>134.61949432156501</v>
      </c>
      <c r="AA575">
        <v>4424.3243951743098</v>
      </c>
      <c r="AL575">
        <v>103135.83629130899</v>
      </c>
      <c r="AN575">
        <v>0</v>
      </c>
      <c r="AX575">
        <v>59981.1135438196</v>
      </c>
      <c r="BC575"/>
      <c r="BD575"/>
      <c r="BE575" s="755"/>
      <c r="BF575" s="755"/>
      <c r="CA575" s="62"/>
      <c r="CF575" s="742"/>
      <c r="CG575" s="742"/>
      <c r="CH575" s="742"/>
      <c r="CI575" s="742"/>
      <c r="CJ575" s="742"/>
      <c r="CK575" s="742"/>
    </row>
    <row r="576" spans="2:89">
      <c r="B576" s="61" t="s">
        <v>87</v>
      </c>
      <c r="BC576"/>
      <c r="BD576"/>
      <c r="BE576" s="755"/>
      <c r="BF576" s="755"/>
      <c r="CA576" s="62"/>
      <c r="CF576" s="742"/>
      <c r="CG576" s="742"/>
      <c r="CH576" s="742"/>
      <c r="CI576" s="742"/>
      <c r="CJ576" s="742"/>
      <c r="CK576" s="742"/>
    </row>
    <row r="577" spans="2:89">
      <c r="B577" s="61" t="s">
        <v>88</v>
      </c>
      <c r="D577" t="s">
        <v>89</v>
      </c>
      <c r="E577" t="s">
        <v>89</v>
      </c>
      <c r="F577" t="s">
        <v>89</v>
      </c>
      <c r="G577" t="s">
        <v>89</v>
      </c>
      <c r="H577" t="s">
        <v>89</v>
      </c>
      <c r="I577" t="s">
        <v>89</v>
      </c>
      <c r="J577" t="s">
        <v>89</v>
      </c>
      <c r="K577" t="s">
        <v>89</v>
      </c>
      <c r="L577" t="s">
        <v>89</v>
      </c>
      <c r="M577" t="s">
        <v>89</v>
      </c>
      <c r="N577" t="s">
        <v>89</v>
      </c>
      <c r="O577" t="s">
        <v>123</v>
      </c>
      <c r="Q577" t="s">
        <v>123</v>
      </c>
      <c r="R577" t="s">
        <v>123</v>
      </c>
      <c r="S577" t="s">
        <v>123</v>
      </c>
      <c r="V577" t="s">
        <v>123</v>
      </c>
      <c r="W577" t="s">
        <v>89</v>
      </c>
      <c r="Y577" t="s">
        <v>123</v>
      </c>
      <c r="Z577" t="s">
        <v>123</v>
      </c>
      <c r="AA577" t="s">
        <v>123</v>
      </c>
      <c r="AB577" t="s">
        <v>123</v>
      </c>
      <c r="AC577" t="s">
        <v>89</v>
      </c>
      <c r="AD577" t="s">
        <v>89</v>
      </c>
      <c r="AE577" t="s">
        <v>89</v>
      </c>
      <c r="AG577" t="s">
        <v>123</v>
      </c>
      <c r="AH577" t="s">
        <v>123</v>
      </c>
      <c r="AI577" t="s">
        <v>123</v>
      </c>
      <c r="AJ577" t="s">
        <v>123</v>
      </c>
      <c r="AL577" t="s">
        <v>123</v>
      </c>
      <c r="AM577" t="s">
        <v>123</v>
      </c>
      <c r="AN577" t="s">
        <v>123</v>
      </c>
      <c r="AO577" t="s">
        <v>123</v>
      </c>
      <c r="AP577" t="s">
        <v>89</v>
      </c>
      <c r="AR577" t="s">
        <v>89</v>
      </c>
      <c r="AS577" t="s">
        <v>89</v>
      </c>
      <c r="AT577" t="s">
        <v>89</v>
      </c>
      <c r="AU577" t="s">
        <v>89</v>
      </c>
      <c r="AV577" t="s">
        <v>89</v>
      </c>
      <c r="AW577" t="s">
        <v>89</v>
      </c>
      <c r="AX577" t="s">
        <v>89</v>
      </c>
      <c r="AY577" t="s">
        <v>123</v>
      </c>
      <c r="BB577" t="s">
        <v>89</v>
      </c>
      <c r="BC577" t="s">
        <v>89</v>
      </c>
      <c r="BD577" t="s">
        <v>89</v>
      </c>
      <c r="BE577" s="755" t="s">
        <v>89</v>
      </c>
      <c r="BF577" s="755" t="s">
        <v>89</v>
      </c>
      <c r="BH577" t="s">
        <v>89</v>
      </c>
      <c r="BI577" t="s">
        <v>89</v>
      </c>
      <c r="BJ577" t="s">
        <v>89</v>
      </c>
      <c r="BK577" t="s">
        <v>89</v>
      </c>
      <c r="BL577" t="s">
        <v>89</v>
      </c>
      <c r="BM577" t="s">
        <v>89</v>
      </c>
      <c r="BN577" t="s">
        <v>89</v>
      </c>
      <c r="BO577" t="s">
        <v>89</v>
      </c>
      <c r="BP577" t="s">
        <v>89</v>
      </c>
      <c r="BQ577" t="s">
        <v>123</v>
      </c>
      <c r="BR577" t="s">
        <v>89</v>
      </c>
      <c r="BS577" t="s">
        <v>123</v>
      </c>
      <c r="BT577" t="s">
        <v>89</v>
      </c>
      <c r="BU577" t="s">
        <v>123</v>
      </c>
      <c r="BV577" t="s">
        <v>123</v>
      </c>
      <c r="BW577" t="s">
        <v>89</v>
      </c>
      <c r="CA577" s="62"/>
      <c r="CF577" s="742" t="s">
        <v>89</v>
      </c>
      <c r="CG577" s="742" t="s">
        <v>89</v>
      </c>
      <c r="CH577" s="742" t="s">
        <v>123</v>
      </c>
      <c r="CI577" s="742" t="s">
        <v>123</v>
      </c>
      <c r="CJ577" s="742" t="s">
        <v>89</v>
      </c>
      <c r="CK577" s="742" t="s">
        <v>89</v>
      </c>
    </row>
    <row r="578" spans="2:89">
      <c r="B578" s="61" t="s">
        <v>90</v>
      </c>
      <c r="C578" t="s">
        <v>91</v>
      </c>
      <c r="D578">
        <v>30</v>
      </c>
      <c r="E578">
        <v>30</v>
      </c>
      <c r="F578">
        <v>-24.631843742438999</v>
      </c>
      <c r="G578">
        <v>657.17360453500396</v>
      </c>
      <c r="H578">
        <v>1203.9305464614199</v>
      </c>
      <c r="I578">
        <v>667.16510346869597</v>
      </c>
      <c r="J578">
        <v>640.24551939982996</v>
      </c>
      <c r="K578">
        <v>433.808218822681</v>
      </c>
      <c r="L578">
        <v>30</v>
      </c>
      <c r="M578">
        <v>35</v>
      </c>
      <c r="N578">
        <v>35</v>
      </c>
      <c r="O578">
        <v>35</v>
      </c>
      <c r="P578">
        <v>35.231246688921999</v>
      </c>
      <c r="Q578">
        <v>35</v>
      </c>
      <c r="R578">
        <v>35</v>
      </c>
      <c r="S578">
        <v>35</v>
      </c>
      <c r="T578">
        <v>35</v>
      </c>
      <c r="U578">
        <v>12</v>
      </c>
      <c r="V578">
        <v>12</v>
      </c>
      <c r="W578">
        <v>12</v>
      </c>
      <c r="X578">
        <v>-43.737128361490001</v>
      </c>
      <c r="Y578">
        <v>-72</v>
      </c>
      <c r="Z578">
        <v>-72.000003031706001</v>
      </c>
      <c r="AA578">
        <v>254.96453231801499</v>
      </c>
      <c r="AB578">
        <v>254.964586188255</v>
      </c>
      <c r="AC578">
        <v>-18.729478156967001</v>
      </c>
      <c r="AD578">
        <v>-17.574739586917001</v>
      </c>
      <c r="AE578">
        <v>-72</v>
      </c>
      <c r="AF578">
        <v>-127.21642309754</v>
      </c>
      <c r="AG578">
        <v>-140</v>
      </c>
      <c r="AH578">
        <v>-140</v>
      </c>
      <c r="AI578">
        <v>-51.318943810263001</v>
      </c>
      <c r="AJ578">
        <v>-51.318943810263001</v>
      </c>
      <c r="AL578">
        <v>-104.464151134579</v>
      </c>
      <c r="AM578">
        <v>-104.470186886734</v>
      </c>
      <c r="AN578">
        <v>-89.331069437794994</v>
      </c>
      <c r="AO578">
        <v>-88.349421817163005</v>
      </c>
      <c r="AP578">
        <v>-140</v>
      </c>
      <c r="AQ578">
        <v>-152.43072747991201</v>
      </c>
      <c r="AR578">
        <v>-167</v>
      </c>
      <c r="AS578">
        <v>-156</v>
      </c>
      <c r="AT578">
        <v>-109</v>
      </c>
      <c r="AU578">
        <v>-44</v>
      </c>
      <c r="AV578">
        <v>-10.226803350358001</v>
      </c>
      <c r="AW578">
        <v>-10.226803350358001</v>
      </c>
      <c r="AX578">
        <v>-10.226803350358001</v>
      </c>
      <c r="AY578">
        <v>-167</v>
      </c>
      <c r="AZ578">
        <v>-169.31165952171401</v>
      </c>
      <c r="BA578">
        <v>-162</v>
      </c>
      <c r="BB578">
        <v>-124</v>
      </c>
      <c r="BC578">
        <v>-52</v>
      </c>
      <c r="BD578">
        <v>-52</v>
      </c>
      <c r="BE578" s="755">
        <v>-52</v>
      </c>
      <c r="BF578" s="755">
        <v>-125.06485599225999</v>
      </c>
      <c r="BH578">
        <v>-74</v>
      </c>
      <c r="BI578">
        <v>-74</v>
      </c>
      <c r="BJ578">
        <v>-74</v>
      </c>
      <c r="BK578">
        <v>30</v>
      </c>
      <c r="BL578">
        <v>30</v>
      </c>
      <c r="BM578">
        <v>859.42475537686005</v>
      </c>
      <c r="BN578">
        <v>719.11450906083201</v>
      </c>
      <c r="BO578">
        <v>30</v>
      </c>
      <c r="BP578">
        <v>30</v>
      </c>
      <c r="BQ578">
        <v>25</v>
      </c>
      <c r="BR578">
        <v>423.81431520665501</v>
      </c>
      <c r="BS578">
        <v>-72.000003031706001</v>
      </c>
      <c r="BT578">
        <v>30</v>
      </c>
      <c r="BU578">
        <v>-51.318943810263001</v>
      </c>
      <c r="BV578">
        <v>-140</v>
      </c>
      <c r="BW578">
        <v>630.24683710308796</v>
      </c>
      <c r="CA578" s="62"/>
      <c r="CF578" s="742">
        <v>739.50024451622005</v>
      </c>
      <c r="CG578" s="742">
        <v>25</v>
      </c>
      <c r="CH578" s="742">
        <v>25</v>
      </c>
      <c r="CI578" s="742">
        <v>40</v>
      </c>
      <c r="CJ578" s="742">
        <v>61.892363171025004</v>
      </c>
      <c r="CK578" s="742">
        <v>70.725243998422002</v>
      </c>
    </row>
    <row r="579" spans="2:89">
      <c r="B579" s="61" t="s">
        <v>92</v>
      </c>
      <c r="C579" t="s">
        <v>93</v>
      </c>
      <c r="D579">
        <v>1.0129999999999999</v>
      </c>
      <c r="E579">
        <v>1.0129999999999999</v>
      </c>
      <c r="F579">
        <v>1.0129999999999999</v>
      </c>
      <c r="G579">
        <v>1.0129999999999999</v>
      </c>
      <c r="H579">
        <v>1.0129999999999999</v>
      </c>
      <c r="I579">
        <v>1.0129999999999999</v>
      </c>
      <c r="J579">
        <v>1.0129999999999999</v>
      </c>
      <c r="K579">
        <v>1.0129999999999999</v>
      </c>
      <c r="L579">
        <v>1.0129999999999999</v>
      </c>
      <c r="M579">
        <v>6.0000003180819697</v>
      </c>
      <c r="N579">
        <v>6.0000003180819697</v>
      </c>
      <c r="O579">
        <v>6.0000003180819697</v>
      </c>
      <c r="P579">
        <v>8.97209304405993</v>
      </c>
      <c r="Q579">
        <v>8.97209304405993</v>
      </c>
      <c r="R579">
        <v>13.4164082206252</v>
      </c>
      <c r="S579">
        <v>20.0622094151854</v>
      </c>
      <c r="T579">
        <v>30</v>
      </c>
      <c r="U579">
        <v>30</v>
      </c>
      <c r="V579">
        <v>30</v>
      </c>
      <c r="W579">
        <v>30</v>
      </c>
      <c r="X579">
        <v>30</v>
      </c>
      <c r="Y579">
        <v>30</v>
      </c>
      <c r="Z579">
        <v>30</v>
      </c>
      <c r="AA579">
        <v>30</v>
      </c>
      <c r="AB579">
        <v>30</v>
      </c>
      <c r="AC579">
        <v>30</v>
      </c>
      <c r="AD579">
        <v>30</v>
      </c>
      <c r="AE579">
        <v>30</v>
      </c>
      <c r="AF579">
        <v>30</v>
      </c>
      <c r="AG579">
        <v>30</v>
      </c>
      <c r="AH579">
        <v>30</v>
      </c>
      <c r="AI579">
        <v>10</v>
      </c>
      <c r="AJ579">
        <v>10</v>
      </c>
      <c r="AL579">
        <v>1.0129999999999999</v>
      </c>
      <c r="AM579">
        <v>1.0129999999999999</v>
      </c>
      <c r="AN579">
        <v>1.0129999999999999</v>
      </c>
      <c r="AO579">
        <v>1.0129999999999999</v>
      </c>
      <c r="AP579">
        <v>30</v>
      </c>
      <c r="AQ579">
        <v>30</v>
      </c>
      <c r="AR579">
        <v>30</v>
      </c>
      <c r="AS579">
        <v>30</v>
      </c>
      <c r="AT579">
        <v>30</v>
      </c>
      <c r="AU579">
        <v>30</v>
      </c>
      <c r="AV579">
        <v>30</v>
      </c>
      <c r="AW579">
        <v>30</v>
      </c>
      <c r="AX579">
        <v>30</v>
      </c>
      <c r="AY579">
        <v>30</v>
      </c>
      <c r="AZ579">
        <v>1.0129999999999999</v>
      </c>
      <c r="BA579">
        <v>1.0129999999999999</v>
      </c>
      <c r="BB579">
        <v>1.0129999999999999</v>
      </c>
      <c r="BC579">
        <v>1.0129999999999999</v>
      </c>
      <c r="BD579">
        <v>1.0129999999999999</v>
      </c>
      <c r="BE579" s="755">
        <v>1.0129999999999999</v>
      </c>
      <c r="BF579" s="755">
        <v>10</v>
      </c>
      <c r="BH579">
        <v>10</v>
      </c>
      <c r="BI579">
        <v>10</v>
      </c>
      <c r="BJ579">
        <v>10</v>
      </c>
      <c r="BK579">
        <v>1.0129999999999999</v>
      </c>
      <c r="BL579">
        <v>1.0129999999999999</v>
      </c>
      <c r="BM579">
        <v>1.0129999999999999</v>
      </c>
      <c r="BN579">
        <v>1.0129999999999999</v>
      </c>
      <c r="BO579">
        <v>30</v>
      </c>
      <c r="BP579">
        <v>30</v>
      </c>
      <c r="BQ579">
        <v>11.8</v>
      </c>
      <c r="BR579">
        <v>11.8</v>
      </c>
      <c r="BS579">
        <v>30</v>
      </c>
      <c r="BT579">
        <v>30</v>
      </c>
      <c r="BU579">
        <v>10</v>
      </c>
      <c r="BV579">
        <v>30</v>
      </c>
      <c r="BW579">
        <v>11.8</v>
      </c>
      <c r="CA579" s="62"/>
      <c r="CF579" s="742">
        <v>1.0129999999999999</v>
      </c>
      <c r="CG579" s="742">
        <v>1.0129999999999999</v>
      </c>
      <c r="CH579" s="742">
        <v>1.0129999999999999</v>
      </c>
      <c r="CI579" s="742">
        <v>1.01</v>
      </c>
      <c r="CJ579" s="742">
        <v>1.9</v>
      </c>
      <c r="CK579" s="742">
        <v>1</v>
      </c>
    </row>
    <row r="580" spans="2:89">
      <c r="B580" s="61" t="s">
        <v>94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0</v>
      </c>
      <c r="P580">
        <v>1.9024799683197099E-3</v>
      </c>
      <c r="Q580">
        <v>0</v>
      </c>
      <c r="R580">
        <v>0</v>
      </c>
      <c r="S580">
        <v>0</v>
      </c>
      <c r="T580">
        <v>0.99998699259989099</v>
      </c>
      <c r="U580">
        <v>0.99994691864268903</v>
      </c>
      <c r="V580">
        <v>0</v>
      </c>
      <c r="W580">
        <v>1</v>
      </c>
      <c r="X580">
        <v>0.99986878369023402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1</v>
      </c>
      <c r="AE580">
        <v>1</v>
      </c>
      <c r="AF580">
        <v>0.98208294245769301</v>
      </c>
      <c r="AG580">
        <v>0</v>
      </c>
      <c r="AH580">
        <v>0</v>
      </c>
      <c r="AI580">
        <v>0</v>
      </c>
      <c r="AJ580">
        <v>0</v>
      </c>
      <c r="AL580">
        <v>0</v>
      </c>
      <c r="AM580">
        <v>0</v>
      </c>
      <c r="AN580">
        <v>0</v>
      </c>
      <c r="AO580">
        <v>0</v>
      </c>
      <c r="AP580">
        <v>1</v>
      </c>
      <c r="AQ580">
        <v>0.89937193887989098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0</v>
      </c>
      <c r="AZ580">
        <v>5.2562254256153698E-2</v>
      </c>
      <c r="BA580">
        <v>0.58879939392694203</v>
      </c>
      <c r="BB580">
        <v>1</v>
      </c>
      <c r="BC580">
        <v>1</v>
      </c>
      <c r="BD580">
        <v>1</v>
      </c>
      <c r="BE580" s="755">
        <v>1</v>
      </c>
      <c r="BF580" s="755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0</v>
      </c>
      <c r="BR580">
        <v>1</v>
      </c>
      <c r="BS580">
        <v>0</v>
      </c>
      <c r="BT580">
        <v>1</v>
      </c>
      <c r="BU580">
        <v>0</v>
      </c>
      <c r="BV580">
        <v>0</v>
      </c>
      <c r="BW580">
        <v>1</v>
      </c>
      <c r="CA580" s="62"/>
      <c r="CF580" s="742">
        <v>1</v>
      </c>
      <c r="CG580" s="742">
        <v>1</v>
      </c>
      <c r="CH580" s="742">
        <v>0</v>
      </c>
      <c r="CI580" s="742">
        <v>0</v>
      </c>
      <c r="CJ580" s="742">
        <v>1</v>
      </c>
      <c r="CK580" s="742">
        <v>1</v>
      </c>
    </row>
    <row r="581" spans="2:89">
      <c r="B581" s="61" t="s">
        <v>95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0.99809752003167995</v>
      </c>
      <c r="Q581">
        <v>1</v>
      </c>
      <c r="R581" s="44">
        <v>1</v>
      </c>
      <c r="S581" s="44">
        <v>1</v>
      </c>
      <c r="T581" s="44">
        <v>1.30074001091218E-5</v>
      </c>
      <c r="U581" s="44">
        <v>5.3081357310746897E-5</v>
      </c>
      <c r="V581">
        <v>1</v>
      </c>
      <c r="W581">
        <v>0</v>
      </c>
      <c r="X581">
        <v>1.3121630976575799E-4</v>
      </c>
      <c r="Y581">
        <v>1</v>
      </c>
      <c r="Z581">
        <v>1</v>
      </c>
      <c r="AA581">
        <v>1</v>
      </c>
      <c r="AB581">
        <v>1</v>
      </c>
      <c r="AC581">
        <v>0</v>
      </c>
      <c r="AD581">
        <v>0</v>
      </c>
      <c r="AE581">
        <v>0</v>
      </c>
      <c r="AF581">
        <v>1.7917057542306901E-2</v>
      </c>
      <c r="AG581">
        <v>1</v>
      </c>
      <c r="AH581">
        <v>1</v>
      </c>
      <c r="AI581">
        <v>1</v>
      </c>
      <c r="AJ581">
        <v>1</v>
      </c>
      <c r="AL581">
        <v>1</v>
      </c>
      <c r="AM581">
        <v>1</v>
      </c>
      <c r="AN581">
        <v>1</v>
      </c>
      <c r="AO581">
        <v>1</v>
      </c>
      <c r="AP581">
        <v>0</v>
      </c>
      <c r="AQ581">
        <v>0.100628061120109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1</v>
      </c>
      <c r="AZ581">
        <v>0.94743774574384598</v>
      </c>
      <c r="BA581">
        <v>0.41120060607305797</v>
      </c>
      <c r="BB581">
        <v>0</v>
      </c>
      <c r="BC581">
        <v>0</v>
      </c>
      <c r="BD581">
        <v>0</v>
      </c>
      <c r="BE581" s="755">
        <v>0</v>
      </c>
      <c r="BF581" s="755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1</v>
      </c>
      <c r="BR581">
        <v>0</v>
      </c>
      <c r="BS581">
        <v>1</v>
      </c>
      <c r="BT581">
        <v>0</v>
      </c>
      <c r="BU581">
        <v>1</v>
      </c>
      <c r="BV581">
        <v>1</v>
      </c>
      <c r="BW581">
        <v>0</v>
      </c>
      <c r="CA581" s="62"/>
      <c r="CF581" s="742">
        <v>0</v>
      </c>
      <c r="CG581" s="742">
        <v>0</v>
      </c>
      <c r="CH581" s="742">
        <v>1</v>
      </c>
      <c r="CI581" s="742">
        <v>1</v>
      </c>
      <c r="CJ581" s="742">
        <v>0</v>
      </c>
      <c r="CK581" s="742">
        <v>0</v>
      </c>
    </row>
    <row r="582" spans="2:89">
      <c r="B582" s="61" t="s">
        <v>96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 s="755">
        <v>0</v>
      </c>
      <c r="BF582" s="755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A582" s="62"/>
      <c r="CF582" s="742">
        <v>0</v>
      </c>
      <c r="CG582" s="742">
        <v>0</v>
      </c>
      <c r="CH582" s="742">
        <v>0</v>
      </c>
      <c r="CI582" s="742">
        <v>0</v>
      </c>
      <c r="CJ582" s="742">
        <v>0</v>
      </c>
      <c r="CK582" s="742">
        <v>0</v>
      </c>
    </row>
    <row r="583" spans="2:89">
      <c r="B583" s="61" t="s">
        <v>97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1.00000008556245</v>
      </c>
      <c r="O583">
        <v>0</v>
      </c>
      <c r="P583">
        <v>1.0989715617312099E-4</v>
      </c>
      <c r="Q583">
        <v>0</v>
      </c>
      <c r="R583">
        <v>0</v>
      </c>
      <c r="S583">
        <v>0</v>
      </c>
      <c r="T583">
        <v>0.99973578721127698</v>
      </c>
      <c r="U583">
        <v>0.99894275770748997</v>
      </c>
      <c r="V583">
        <v>0</v>
      </c>
      <c r="W583">
        <v>1</v>
      </c>
      <c r="X583">
        <v>0.99830081402354298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0.999999998535123</v>
      </c>
      <c r="AE583">
        <v>1</v>
      </c>
      <c r="AF583">
        <v>0.94168918752639696</v>
      </c>
      <c r="AG583">
        <v>0</v>
      </c>
      <c r="AH583">
        <v>0</v>
      </c>
      <c r="AI583">
        <v>0</v>
      </c>
      <c r="AJ583">
        <v>0</v>
      </c>
      <c r="AL583">
        <v>0</v>
      </c>
      <c r="AM583">
        <v>0</v>
      </c>
      <c r="AN583">
        <v>0</v>
      </c>
      <c r="AO583">
        <v>0</v>
      </c>
      <c r="AP583">
        <v>1</v>
      </c>
      <c r="AQ583">
        <v>0.66337066584485804</v>
      </c>
      <c r="AR583">
        <v>1.00000000105173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0</v>
      </c>
      <c r="AZ583">
        <v>3.05387892628145E-2</v>
      </c>
      <c r="BA583">
        <v>0.57708173804552698</v>
      </c>
      <c r="BB583">
        <v>1</v>
      </c>
      <c r="BC583">
        <v>1</v>
      </c>
      <c r="BD583">
        <v>1</v>
      </c>
      <c r="BE583" s="755">
        <v>1</v>
      </c>
      <c r="BF583" s="755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0</v>
      </c>
      <c r="BR583">
        <v>1</v>
      </c>
      <c r="BS583">
        <v>0</v>
      </c>
      <c r="BT583">
        <v>1</v>
      </c>
      <c r="BU583">
        <v>0</v>
      </c>
      <c r="BV583">
        <v>0</v>
      </c>
      <c r="BW583">
        <v>1</v>
      </c>
      <c r="CA583" s="62"/>
      <c r="CF583" s="742">
        <v>1</v>
      </c>
      <c r="CG583" s="742">
        <v>1</v>
      </c>
      <c r="CH583" s="742">
        <v>0</v>
      </c>
      <c r="CI583" s="742">
        <v>0</v>
      </c>
      <c r="CJ583" s="742">
        <v>1</v>
      </c>
      <c r="CK583" s="742">
        <v>1</v>
      </c>
    </row>
    <row r="584" spans="2:89">
      <c r="B584" s="61" t="s">
        <v>98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0.99989010284382696</v>
      </c>
      <c r="Q584" s="44">
        <v>1</v>
      </c>
      <c r="R584">
        <v>1</v>
      </c>
      <c r="S584">
        <v>1</v>
      </c>
      <c r="T584">
        <v>2.6421278872257298E-4</v>
      </c>
      <c r="U584">
        <v>1.0572422925099201E-3</v>
      </c>
      <c r="V584">
        <v>1</v>
      </c>
      <c r="W584">
        <v>0</v>
      </c>
      <c r="X584">
        <v>1.6991859764565701E-3</v>
      </c>
      <c r="Y584">
        <v>1</v>
      </c>
      <c r="Z584" s="44">
        <v>1</v>
      </c>
      <c r="AA584">
        <v>1</v>
      </c>
      <c r="AB584">
        <v>1</v>
      </c>
      <c r="AC584">
        <v>0</v>
      </c>
      <c r="AD584" s="44">
        <v>1.46487721952582E-9</v>
      </c>
      <c r="AE584">
        <v>0</v>
      </c>
      <c r="AF584">
        <v>5.8310812473602598E-2</v>
      </c>
      <c r="AG584">
        <v>1</v>
      </c>
      <c r="AH584">
        <v>1</v>
      </c>
      <c r="AI584">
        <v>1</v>
      </c>
      <c r="AJ584">
        <v>1</v>
      </c>
      <c r="AL584">
        <v>1</v>
      </c>
      <c r="AM584" s="44">
        <v>1</v>
      </c>
      <c r="AN584">
        <v>1</v>
      </c>
      <c r="AO584">
        <v>1</v>
      </c>
      <c r="AP584">
        <v>0</v>
      </c>
      <c r="AQ584">
        <v>0.33662933415514201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1</v>
      </c>
      <c r="AZ584">
        <v>0.96946121073718505</v>
      </c>
      <c r="BA584">
        <v>0.42291826195447302</v>
      </c>
      <c r="BB584">
        <v>0</v>
      </c>
      <c r="BC584">
        <v>0</v>
      </c>
      <c r="BD584">
        <v>0</v>
      </c>
      <c r="BE584" s="755">
        <v>0</v>
      </c>
      <c r="BF584" s="755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1</v>
      </c>
      <c r="BR584">
        <v>0</v>
      </c>
      <c r="BS584">
        <v>1</v>
      </c>
      <c r="BT584">
        <v>0</v>
      </c>
      <c r="BU584">
        <v>1</v>
      </c>
      <c r="BV584">
        <v>1</v>
      </c>
      <c r="BW584">
        <v>0</v>
      </c>
      <c r="CA584" s="62"/>
      <c r="CF584" s="742">
        <v>0</v>
      </c>
      <c r="CG584" s="742">
        <v>0</v>
      </c>
      <c r="CH584" s="742">
        <v>1</v>
      </c>
      <c r="CI584" s="742">
        <v>1</v>
      </c>
      <c r="CJ584" s="742">
        <v>0</v>
      </c>
      <c r="CK584" s="742">
        <v>0</v>
      </c>
    </row>
    <row r="585" spans="2:89">
      <c r="B585" s="61" t="s">
        <v>99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 s="755">
        <v>0</v>
      </c>
      <c r="BF585" s="75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A585" s="62"/>
      <c r="CF585" s="742">
        <v>0</v>
      </c>
      <c r="CG585" s="742">
        <v>0</v>
      </c>
      <c r="CH585" s="742">
        <v>0</v>
      </c>
      <c r="CI585" s="742">
        <v>0</v>
      </c>
      <c r="CJ585" s="742">
        <v>0</v>
      </c>
      <c r="CK585" s="742">
        <v>0</v>
      </c>
    </row>
    <row r="586" spans="2:89">
      <c r="B586" s="61" t="s">
        <v>100</v>
      </c>
      <c r="C586" t="s">
        <v>101</v>
      </c>
      <c r="D586">
        <v>-17.760466837021902</v>
      </c>
      <c r="E586">
        <v>3.4324776483209099E-2</v>
      </c>
      <c r="F586">
        <v>-5.6904580644477196</v>
      </c>
      <c r="G586">
        <v>0.18144308456210401</v>
      </c>
      <c r="H586">
        <v>6.7217096615682603</v>
      </c>
      <c r="I586">
        <v>0.94310958443583903</v>
      </c>
      <c r="J586">
        <v>0.67760487056576302</v>
      </c>
      <c r="K586">
        <v>-1.2680934136978399</v>
      </c>
      <c r="L586">
        <v>-4.5847752711010097</v>
      </c>
      <c r="M586">
        <v>-4.5515479650921096</v>
      </c>
      <c r="N586">
        <v>-4.5458916357953996</v>
      </c>
      <c r="O586">
        <v>23.571346854196499</v>
      </c>
      <c r="P586">
        <v>23.2886743883458</v>
      </c>
      <c r="Q586">
        <v>23.442168867983298</v>
      </c>
      <c r="R586">
        <v>23.2557349674126</v>
      </c>
      <c r="S586">
        <v>22.990857610360301</v>
      </c>
      <c r="T586">
        <v>-4.5667451852000003</v>
      </c>
      <c r="U586">
        <v>-4.7398978581905098</v>
      </c>
      <c r="V586">
        <v>21.072757871788099</v>
      </c>
      <c r="W586">
        <v>-4.7412681017268303</v>
      </c>
      <c r="X586">
        <v>-5.15634161462921</v>
      </c>
      <c r="Y586">
        <v>8.2291308580063909</v>
      </c>
      <c r="Z586">
        <v>8.2291308580063909</v>
      </c>
      <c r="AA586">
        <v>21.638457518564799</v>
      </c>
      <c r="AB586">
        <v>21.6384614859092</v>
      </c>
      <c r="AC586">
        <v>-8.0596193732882995</v>
      </c>
      <c r="AD586">
        <v>-8.0457684929346502</v>
      </c>
      <c r="AE586">
        <v>-5.3701345623516898</v>
      </c>
      <c r="AF586">
        <v>-5.8214009443753296</v>
      </c>
      <c r="AG586">
        <v>-17.788632374052799</v>
      </c>
      <c r="AH586">
        <v>-17.788632374052799</v>
      </c>
      <c r="AI586">
        <v>7.4157639868407896</v>
      </c>
      <c r="AJ586">
        <v>7.4157639868407896</v>
      </c>
      <c r="AL586">
        <v>8.10800887733736</v>
      </c>
      <c r="AM586">
        <v>8.1238185608515696</v>
      </c>
      <c r="AN586">
        <v>-22.881915831342901</v>
      </c>
      <c r="AO586">
        <v>-24.039234793196599</v>
      </c>
      <c r="AP586">
        <v>-4.5703301975914501</v>
      </c>
      <c r="AQ586">
        <v>-4.8232204633463702</v>
      </c>
      <c r="AR586">
        <v>-1.9837228184368401</v>
      </c>
      <c r="AS586">
        <v>-1.90572204847188</v>
      </c>
      <c r="AT586">
        <v>-1.5794736051749501</v>
      </c>
      <c r="AU586">
        <v>-1.13250460084071</v>
      </c>
      <c r="AV586">
        <v>-0.89885157742878496</v>
      </c>
      <c r="AW586">
        <v>-0.89885157742878496</v>
      </c>
      <c r="AX586">
        <v>-0.89885157742878496</v>
      </c>
      <c r="AY586">
        <v>-20.6714896937535</v>
      </c>
      <c r="AZ586">
        <v>-20.6714896937535</v>
      </c>
      <c r="BA586">
        <v>-19.5256239059871</v>
      </c>
      <c r="BB586">
        <v>-18.405354064855299</v>
      </c>
      <c r="BC586">
        <v>-17.8278755244678</v>
      </c>
      <c r="BD586">
        <v>-17.8278755244678</v>
      </c>
      <c r="BE586" s="755">
        <v>-17.8278755244678</v>
      </c>
      <c r="BF586" s="755">
        <v>-18.5398106520502</v>
      </c>
      <c r="BH586">
        <v>-18.084603043769501</v>
      </c>
      <c r="BI586">
        <v>-18.084603043769501</v>
      </c>
      <c r="BJ586">
        <v>-18.084603043769501</v>
      </c>
      <c r="BK586">
        <v>-17.760466837021902</v>
      </c>
      <c r="BL586">
        <v>3.2964400913124497E-2</v>
      </c>
      <c r="BM586">
        <v>-11.970850287394899</v>
      </c>
      <c r="BN586">
        <v>-12.683454274214499</v>
      </c>
      <c r="BO586">
        <v>3.3227609320402501E-2</v>
      </c>
      <c r="BP586">
        <v>-5.6616824186464196</v>
      </c>
      <c r="BQ586">
        <v>-68.678976214066395</v>
      </c>
      <c r="BR586">
        <v>-54.471311902053998</v>
      </c>
      <c r="BS586">
        <v>8.2291308580063909</v>
      </c>
      <c r="BT586">
        <v>-0.61845945227704102</v>
      </c>
      <c r="BU586">
        <v>7.4157639868407896</v>
      </c>
      <c r="BV586">
        <v>-17.788632374052799</v>
      </c>
      <c r="BW586">
        <v>-52.532841061373901</v>
      </c>
      <c r="CA586" s="62"/>
      <c r="CF586" s="742">
        <v>-54226.286544813403</v>
      </c>
      <c r="CG586" s="742">
        <v>-64727.988361861702</v>
      </c>
      <c r="CH586" s="742">
        <v>-68280.938206612307</v>
      </c>
      <c r="CI586" s="742">
        <v>-67998.302014222296</v>
      </c>
      <c r="CJ586" s="742">
        <v>-89464.055073064999</v>
      </c>
      <c r="CK586" s="742">
        <v>-27009.190010079099</v>
      </c>
    </row>
    <row r="587" spans="2:89">
      <c r="B587" s="61" t="s">
        <v>102</v>
      </c>
      <c r="C587" t="s">
        <v>103</v>
      </c>
      <c r="D587">
        <v>-1107.0705313189201</v>
      </c>
      <c r="E587">
        <v>17.0271923344689</v>
      </c>
      <c r="F587">
        <v>-911.99586523345999</v>
      </c>
      <c r="G587">
        <v>29.0794415883116</v>
      </c>
      <c r="H587">
        <v>1105.6403608041201</v>
      </c>
      <c r="I587">
        <v>155.130178736429</v>
      </c>
      <c r="J587">
        <v>111.45784797259</v>
      </c>
      <c r="K587">
        <v>-208.58610830374499</v>
      </c>
      <c r="L587">
        <v>-754.14036609300194</v>
      </c>
      <c r="M587">
        <v>-748.674874059883</v>
      </c>
      <c r="N587">
        <v>-745.65418723417599</v>
      </c>
      <c r="O587">
        <v>185.380753171805</v>
      </c>
      <c r="P587">
        <v>184.695219918091</v>
      </c>
      <c r="Q587">
        <v>185.06901798595501</v>
      </c>
      <c r="R587">
        <v>184.61464234904199</v>
      </c>
      <c r="S587">
        <v>183.960028493392</v>
      </c>
      <c r="T587">
        <v>-750.50837238886504</v>
      </c>
      <c r="U587">
        <v>-778.96464168149896</v>
      </c>
      <c r="V587">
        <v>173.87519522856201</v>
      </c>
      <c r="W587">
        <v>-779.97309042973097</v>
      </c>
      <c r="X587">
        <v>-848.25570252164903</v>
      </c>
      <c r="Y587">
        <v>109.281291006185</v>
      </c>
      <c r="Z587">
        <v>109.281291006185</v>
      </c>
      <c r="AA587">
        <v>269.63754495180598</v>
      </c>
      <c r="AB587">
        <v>269.63755882099002</v>
      </c>
      <c r="AC587">
        <v>-416.82164325671198</v>
      </c>
      <c r="AD587">
        <v>-416.01700901271101</v>
      </c>
      <c r="AE587">
        <v>-885.97207171700597</v>
      </c>
      <c r="AF587">
        <v>-960.42261047643501</v>
      </c>
      <c r="AG587">
        <v>-1061.01189481143</v>
      </c>
      <c r="AH587">
        <v>-1061.01189481143</v>
      </c>
      <c r="AI587">
        <v>263.04613625246498</v>
      </c>
      <c r="AJ587">
        <v>263.04613625246498</v>
      </c>
      <c r="AL587">
        <v>289.126257493568</v>
      </c>
      <c r="AM587">
        <v>289.69979302762698</v>
      </c>
      <c r="AN587">
        <v>-738.07281877231298</v>
      </c>
      <c r="AO587">
        <v>-772.90427134055597</v>
      </c>
      <c r="AP587">
        <v>-974.36295285579001</v>
      </c>
      <c r="AQ587">
        <v>-1028.2774175523</v>
      </c>
      <c r="AR587">
        <v>-784.63194649109096</v>
      </c>
      <c r="AS587">
        <v>-753.77990637913399</v>
      </c>
      <c r="AT587">
        <v>-624.73720508809595</v>
      </c>
      <c r="AU587">
        <v>-447.94528807606503</v>
      </c>
      <c r="AV587">
        <v>-355.52732279415801</v>
      </c>
      <c r="AW587">
        <v>-355.52732279415801</v>
      </c>
      <c r="AX587">
        <v>-355.52732279415801</v>
      </c>
      <c r="AY587">
        <v>-1314.05423246536</v>
      </c>
      <c r="AZ587">
        <v>-1314.05423246536</v>
      </c>
      <c r="BA587">
        <v>-1241.21333853082</v>
      </c>
      <c r="BB587">
        <v>-1169.9995388457701</v>
      </c>
      <c r="BC587">
        <v>-1133.2901322477701</v>
      </c>
      <c r="BD587">
        <v>-1133.2901322477701</v>
      </c>
      <c r="BE587" s="755">
        <v>-1133.2901322477701</v>
      </c>
      <c r="BF587" s="755">
        <v>-1190.72007623431</v>
      </c>
      <c r="BH587">
        <v>-1161.48434949433</v>
      </c>
      <c r="BI587">
        <v>-1161.48434949433</v>
      </c>
      <c r="BJ587">
        <v>-1161.48434949433</v>
      </c>
      <c r="BK587">
        <v>-1107.0705313189201</v>
      </c>
      <c r="BL587">
        <v>1.1441783575181499</v>
      </c>
      <c r="BM587">
        <v>-432.62040471634401</v>
      </c>
      <c r="BN587">
        <v>-405.84981108134099</v>
      </c>
      <c r="BO587">
        <v>16.4829301944572</v>
      </c>
      <c r="BP587">
        <v>-872.64985848483298</v>
      </c>
      <c r="BQ587">
        <v>-3812.26249128886</v>
      </c>
      <c r="BR587">
        <v>-3023.6172794457798</v>
      </c>
      <c r="BS587">
        <v>109.281291006185</v>
      </c>
      <c r="BT587">
        <v>-244.62240357164899</v>
      </c>
      <c r="BU587">
        <v>263.04613625246498</v>
      </c>
      <c r="BV587">
        <v>-1061.01189481143</v>
      </c>
      <c r="BW587">
        <v>-2916.0157966667098</v>
      </c>
      <c r="CA587" s="62"/>
      <c r="CF587" s="742">
        <v>-1975.8165622100701</v>
      </c>
      <c r="CG587" s="742">
        <v>-1681.10546962595</v>
      </c>
      <c r="CH587" s="742">
        <v>-3787.9115522526699</v>
      </c>
      <c r="CI587" s="742">
        <v>-3770.62656926624</v>
      </c>
      <c r="CJ587" s="742">
        <v>-2182.4762281694302</v>
      </c>
      <c r="CK587" s="742">
        <v>-993.05583158213699</v>
      </c>
    </row>
    <row r="588" spans="2:89">
      <c r="B588" s="61" t="s">
        <v>104</v>
      </c>
      <c r="C588" t="s">
        <v>105</v>
      </c>
      <c r="D588">
        <v>-19.118113443029198</v>
      </c>
      <c r="E588">
        <v>0.114017139114287</v>
      </c>
      <c r="F588">
        <v>-5.8858298595475196</v>
      </c>
      <c r="G588">
        <v>5.0764816606441201</v>
      </c>
      <c r="H588">
        <v>10.4762324964755</v>
      </c>
      <c r="I588">
        <v>5.6414209760646896</v>
      </c>
      <c r="J588">
        <v>5.3549504818790501</v>
      </c>
      <c r="K588">
        <v>2.9445546476246802</v>
      </c>
      <c r="L588">
        <v>-3.9119030674280402</v>
      </c>
      <c r="M588">
        <v>-7.3352537215194999</v>
      </c>
      <c r="N588">
        <v>-7.3401864953132403</v>
      </c>
      <c r="O588">
        <v>-83.415358822012294</v>
      </c>
      <c r="P588">
        <v>-82.740854948862804</v>
      </c>
      <c r="Q588">
        <v>-83.121551535760304</v>
      </c>
      <c r="R588">
        <v>-82.705231483800006</v>
      </c>
      <c r="S588">
        <v>-82.124914278515902</v>
      </c>
      <c r="T588">
        <v>-10.5874701286443</v>
      </c>
      <c r="U588">
        <v>-11.1714139162642</v>
      </c>
      <c r="V588">
        <v>-82.984749889716895</v>
      </c>
      <c r="W588">
        <v>-11.1676017645635</v>
      </c>
      <c r="X588">
        <v>-12.7872056601755</v>
      </c>
      <c r="Y588">
        <v>-67.154879457975795</v>
      </c>
      <c r="Z588">
        <v>-67.154878354135406</v>
      </c>
      <c r="AA588">
        <v>-38.0997606625956</v>
      </c>
      <c r="AB588">
        <v>-38.099759566487101</v>
      </c>
      <c r="AC588">
        <v>-23.637218066368401</v>
      </c>
      <c r="AD588">
        <v>-23.590978250806099</v>
      </c>
      <c r="AE588">
        <v>-13.7516640857904</v>
      </c>
      <c r="AF588">
        <v>-16.407502526727299</v>
      </c>
      <c r="AG588">
        <v>-40.724162573720797</v>
      </c>
      <c r="AH588">
        <v>-40.724162573720797</v>
      </c>
      <c r="AI588">
        <v>-33.4938206339258</v>
      </c>
      <c r="AJ588">
        <v>-33.4938206339258</v>
      </c>
      <c r="AL588">
        <v>-36.8271198601878</v>
      </c>
      <c r="AM588">
        <v>-36.820872942717699</v>
      </c>
      <c r="AN588">
        <v>-64.630248714715606</v>
      </c>
      <c r="AO588">
        <v>-65.927754664912001</v>
      </c>
      <c r="AP588">
        <v>-15.3193823343569</v>
      </c>
      <c r="AQ588">
        <v>-17.314337841182699</v>
      </c>
      <c r="AR588">
        <v>-14.3120544579939</v>
      </c>
      <c r="AS588">
        <v>-13.6127930025268</v>
      </c>
      <c r="AT588">
        <v>-11.269722671436</v>
      </c>
      <c r="AU588">
        <v>-8.9759243577431391</v>
      </c>
      <c r="AV588">
        <v>-8.0248316470066303</v>
      </c>
      <c r="AW588">
        <v>-8.0248316470066303</v>
      </c>
      <c r="AX588">
        <v>-8.0248316470066303</v>
      </c>
      <c r="AY588">
        <v>-44.515043904463603</v>
      </c>
      <c r="AZ588">
        <v>-44.135696939146797</v>
      </c>
      <c r="BA588">
        <v>-33.702711238837203</v>
      </c>
      <c r="BB588">
        <v>-24.042993482200099</v>
      </c>
      <c r="BC588">
        <v>-20.8842055708987</v>
      </c>
      <c r="BD588">
        <v>-20.8842055708987</v>
      </c>
      <c r="BE588" s="755">
        <v>-20.8842055708987</v>
      </c>
      <c r="BF588" s="755">
        <v>-29.041527359662201</v>
      </c>
      <c r="BH588">
        <v>-26.393572098276799</v>
      </c>
      <c r="BI588">
        <v>-26.393572098276799</v>
      </c>
      <c r="BJ588">
        <v>-26.393572098276799</v>
      </c>
      <c r="BK588">
        <v>-19.118113443029198</v>
      </c>
      <c r="BL588">
        <v>1.10458588266324</v>
      </c>
      <c r="BM588">
        <v>10.244761642131101</v>
      </c>
      <c r="BN588">
        <v>10.6708413713386</v>
      </c>
      <c r="BO588">
        <v>-6.6372920840945602</v>
      </c>
      <c r="BP588">
        <v>-11.575733649698799</v>
      </c>
      <c r="BQ588">
        <v>-40.041054052788603</v>
      </c>
      <c r="BR588">
        <v>-8.4616627161514604</v>
      </c>
      <c r="BS588">
        <v>-67.154878354135406</v>
      </c>
      <c r="BT588">
        <v>-7.0325997867243402</v>
      </c>
      <c r="BU588">
        <v>-33.4938206339258</v>
      </c>
      <c r="BV588">
        <v>-40.724162573720797</v>
      </c>
      <c r="BW588">
        <v>-6.0285539852769796</v>
      </c>
      <c r="CA588" s="62"/>
      <c r="CF588" s="742">
        <v>7.5615765727703099</v>
      </c>
      <c r="CG588" s="742">
        <v>1.75271944353217</v>
      </c>
      <c r="CH588" s="742">
        <v>-38.972503224263797</v>
      </c>
      <c r="CI588" s="742">
        <v>-38.129595003026402</v>
      </c>
      <c r="CJ588" s="742">
        <v>-0.142402331701768</v>
      </c>
      <c r="CK588" s="742">
        <v>0.28293844327392198</v>
      </c>
    </row>
    <row r="589" spans="2:89">
      <c r="B589" s="61" t="s">
        <v>106</v>
      </c>
      <c r="C589" t="s">
        <v>107</v>
      </c>
      <c r="D589">
        <v>-1.1916972792106399</v>
      </c>
      <c r="E589">
        <v>5.6559487228548803E-2</v>
      </c>
      <c r="F589">
        <v>-0.94330762736161999</v>
      </c>
      <c r="G589">
        <v>0.81359536121812304</v>
      </c>
      <c r="H589">
        <v>1.7232141911004</v>
      </c>
      <c r="I589">
        <v>0.92794587054045097</v>
      </c>
      <c r="J589">
        <v>0.88082492118405697</v>
      </c>
      <c r="K589">
        <v>0.48434380937656202</v>
      </c>
      <c r="L589">
        <v>-0.64346098487877601</v>
      </c>
      <c r="M589">
        <v>-1.20656097623806</v>
      </c>
      <c r="N589">
        <v>-1.2039971987481</v>
      </c>
      <c r="O589">
        <v>-0.65603387622154397</v>
      </c>
      <c r="P589">
        <v>-0.65619193888676097</v>
      </c>
      <c r="Q589">
        <v>-0.65622016473066502</v>
      </c>
      <c r="R589">
        <v>-0.656551889337052</v>
      </c>
      <c r="S589">
        <v>-0.65711779119910696</v>
      </c>
      <c r="T589">
        <v>-1.7399667929176601</v>
      </c>
      <c r="U589">
        <v>-1.8359333257195001</v>
      </c>
      <c r="V589">
        <v>-0.68472241155417501</v>
      </c>
      <c r="W589">
        <v>-1.83715172272639</v>
      </c>
      <c r="X589">
        <v>-2.1035883444547498</v>
      </c>
      <c r="Y589">
        <v>-0.89180401322603897</v>
      </c>
      <c r="Z589">
        <v>-0.89180399856724901</v>
      </c>
      <c r="AA589">
        <v>-0.47476239558664401</v>
      </c>
      <c r="AB589">
        <v>-0.47476231930186102</v>
      </c>
      <c r="AC589">
        <v>-1.2224527760076001</v>
      </c>
      <c r="AD589">
        <v>-1.2198024614059699</v>
      </c>
      <c r="AE589">
        <v>-2.2687681617997701</v>
      </c>
      <c r="AF589">
        <v>-2.70693198401732</v>
      </c>
      <c r="AG589">
        <v>-2.4290130904036502</v>
      </c>
      <c r="AH589">
        <v>-2.4290130904036502</v>
      </c>
      <c r="AI589">
        <v>-1.18806641119125</v>
      </c>
      <c r="AJ589">
        <v>-1.18806641119125</v>
      </c>
      <c r="AL589">
        <v>-1.3132308437900699</v>
      </c>
      <c r="AM589">
        <v>-1.31305237687186</v>
      </c>
      <c r="AN589">
        <v>-2.0846956259442799</v>
      </c>
      <c r="AO589">
        <v>-2.1196948912377098</v>
      </c>
      <c r="AP589">
        <v>-3.2659869116452702</v>
      </c>
      <c r="AQ589">
        <v>-3.6912976997959999</v>
      </c>
      <c r="AR589">
        <v>-5.6609194809339103</v>
      </c>
      <c r="AS589">
        <v>-5.3843370512667699</v>
      </c>
      <c r="AT589">
        <v>-4.4575705607255403</v>
      </c>
      <c r="AU589">
        <v>-3.5502928811004102</v>
      </c>
      <c r="AV589">
        <v>-3.17410235791698</v>
      </c>
      <c r="AW589">
        <v>-3.17410235791698</v>
      </c>
      <c r="AX589">
        <v>-3.17410235791698</v>
      </c>
      <c r="AY589">
        <v>-2.8297516394629998</v>
      </c>
      <c r="AZ589">
        <v>-2.8056371468583401</v>
      </c>
      <c r="BA589">
        <v>-2.1424285818324198</v>
      </c>
      <c r="BB589">
        <v>-1.5283754492047601</v>
      </c>
      <c r="BC589">
        <v>-1.32757624770549</v>
      </c>
      <c r="BD589">
        <v>-1.32757624770549</v>
      </c>
      <c r="BE589" s="755">
        <v>-1.32757624770549</v>
      </c>
      <c r="BF589" s="755">
        <v>-1.8651932493082899</v>
      </c>
      <c r="BH589">
        <v>-1.69512821736832</v>
      </c>
      <c r="BI589">
        <v>-1.69512821736832</v>
      </c>
      <c r="BJ589">
        <v>-1.69512821736832</v>
      </c>
      <c r="BK589">
        <v>-1.1916972792106399</v>
      </c>
      <c r="BL589">
        <v>3.83396399131943E-2</v>
      </c>
      <c r="BM589">
        <v>0.370240444198698</v>
      </c>
      <c r="BN589">
        <v>0.34144948694624799</v>
      </c>
      <c r="BO589">
        <v>-3.2925035637511</v>
      </c>
      <c r="BP589">
        <v>-1.7841979793848699</v>
      </c>
      <c r="BQ589">
        <v>-2.2226162486949201</v>
      </c>
      <c r="BR589">
        <v>-0.46969365539427999</v>
      </c>
      <c r="BS589">
        <v>-0.89180399856724901</v>
      </c>
      <c r="BT589">
        <v>-2.7816398582834601</v>
      </c>
      <c r="BU589">
        <v>-1.18806641119125</v>
      </c>
      <c r="BV589">
        <v>-2.4290130904036502</v>
      </c>
      <c r="BW589">
        <v>-0.33463559740825399</v>
      </c>
      <c r="CA589" s="62"/>
      <c r="CF589" s="742">
        <v>0.27551745068422401</v>
      </c>
      <c r="CG589" s="742">
        <v>4.5521362826374798E-2</v>
      </c>
      <c r="CH589" s="742">
        <v>-2.1620147446816702</v>
      </c>
      <c r="CI589" s="742">
        <v>-2.11435373729923</v>
      </c>
      <c r="CJ589" s="742">
        <v>-3.4739058443213401E-3</v>
      </c>
      <c r="CK589" s="742">
        <v>1.04028914220341E-2</v>
      </c>
    </row>
    <row r="590" spans="2:89">
      <c r="B590" s="61" t="s">
        <v>108</v>
      </c>
      <c r="C590" t="s">
        <v>109</v>
      </c>
      <c r="D590">
        <v>4.0272705388030197E-2</v>
      </c>
      <c r="E590">
        <v>4.0177536164464699E-2</v>
      </c>
      <c r="F590">
        <v>4.9047938888679699E-2</v>
      </c>
      <c r="G590">
        <v>1.3093345061891901E-2</v>
      </c>
      <c r="H590">
        <v>8.2472800275532106E-3</v>
      </c>
      <c r="I590">
        <v>1.29542582093123E-2</v>
      </c>
      <c r="J590">
        <v>1.33359904280914E-2</v>
      </c>
      <c r="K590">
        <v>1.7229681084359402E-2</v>
      </c>
      <c r="L590">
        <v>4.01930416727646E-2</v>
      </c>
      <c r="M590">
        <v>0.234228917520406</v>
      </c>
      <c r="N590">
        <v>0.234231527473963</v>
      </c>
      <c r="O590">
        <v>7.64723854132545</v>
      </c>
      <c r="P590">
        <v>7.3933553596173596</v>
      </c>
      <c r="Q590">
        <v>7.6716206761813801</v>
      </c>
      <c r="R590">
        <v>7.7070762893535196</v>
      </c>
      <c r="S590">
        <v>7.7580088571050503</v>
      </c>
      <c r="T590">
        <v>1.1705721226649399</v>
      </c>
      <c r="U590">
        <v>1.26862221692238</v>
      </c>
      <c r="V590">
        <v>8.0541563994324594</v>
      </c>
      <c r="W590">
        <v>1.26856548311273</v>
      </c>
      <c r="X590">
        <v>1.5967096318221401</v>
      </c>
      <c r="Y590">
        <v>12.635883023443901</v>
      </c>
      <c r="Z590">
        <v>12.635883076954499</v>
      </c>
      <c r="AA590">
        <v>6.6811368816697296</v>
      </c>
      <c r="AB590">
        <v>6.6811358832443304</v>
      </c>
      <c r="AC590">
        <v>1.6785428825525399</v>
      </c>
      <c r="AD590">
        <v>1.66637389888091</v>
      </c>
      <c r="AE590">
        <v>1.8430482188795201</v>
      </c>
      <c r="AF590">
        <v>2.7159210176298498</v>
      </c>
      <c r="AG590">
        <v>27.094762638392901</v>
      </c>
      <c r="AH590">
        <v>27.094762638392901</v>
      </c>
      <c r="AI590">
        <v>18.282169432095898</v>
      </c>
      <c r="AJ590">
        <v>18.282169432095898</v>
      </c>
      <c r="AL590">
        <v>22.0732524277464</v>
      </c>
      <c r="AM590">
        <v>22.0745037055291</v>
      </c>
      <c r="AN590">
        <v>19.584387166419202</v>
      </c>
      <c r="AO590">
        <v>19.488472118188199</v>
      </c>
      <c r="AP590">
        <v>2.9004600528708999</v>
      </c>
      <c r="AQ590">
        <v>3.45684430294749</v>
      </c>
      <c r="AR590">
        <v>3.55274854369938</v>
      </c>
      <c r="AS590">
        <v>3.1752360215955102</v>
      </c>
      <c r="AT590">
        <v>2.2058260855679901</v>
      </c>
      <c r="AU590">
        <v>1.5642667922803299</v>
      </c>
      <c r="AV590">
        <v>1.3609588835575701</v>
      </c>
      <c r="AW590">
        <v>1.3609588835575701</v>
      </c>
      <c r="AX590">
        <v>1.3609588835575701</v>
      </c>
      <c r="AY590">
        <v>30.451118564008699</v>
      </c>
      <c r="AZ590">
        <v>2.1166732708713201</v>
      </c>
      <c r="BA590">
        <v>0.19161271963694301</v>
      </c>
      <c r="BB590">
        <v>8.2963246020530901E-2</v>
      </c>
      <c r="BC590">
        <v>5.5388467116798901E-2</v>
      </c>
      <c r="BD590">
        <v>5.5388467116798901E-2</v>
      </c>
      <c r="BE590" s="755">
        <v>5.5388467116798901E-2</v>
      </c>
      <c r="BF590" s="755">
        <v>0.97907127299781904</v>
      </c>
      <c r="BH590">
        <v>0.65029288886500702</v>
      </c>
      <c r="BI590">
        <v>0.65029288886500702</v>
      </c>
      <c r="BJ590">
        <v>0.65029288886500702</v>
      </c>
      <c r="BK590">
        <v>4.0272705388030197E-2</v>
      </c>
      <c r="BL590">
        <v>4.02042559696731E-2</v>
      </c>
      <c r="BM590">
        <v>1.07551233520335E-2</v>
      </c>
      <c r="BN590">
        <v>1.22751913532175E-2</v>
      </c>
      <c r="BO590">
        <v>1.17816379994844</v>
      </c>
      <c r="BP590">
        <v>1.19224320818924</v>
      </c>
      <c r="BQ590">
        <v>47.1134087148126</v>
      </c>
      <c r="BR590">
        <v>0.20692231496708799</v>
      </c>
      <c r="BS590">
        <v>12.635883076954499</v>
      </c>
      <c r="BT590">
        <v>1.1792728371000401</v>
      </c>
      <c r="BU590">
        <v>18.282169432095898</v>
      </c>
      <c r="BV590">
        <v>27.094762638392901</v>
      </c>
      <c r="BW590">
        <v>0.157987787996763</v>
      </c>
      <c r="CA590" s="62"/>
      <c r="CF590" s="745">
        <v>1.2033059103817801E-5</v>
      </c>
      <c r="CG590" s="745">
        <v>4.1005880747091101E-5</v>
      </c>
      <c r="CH590" s="742">
        <v>5.5293956305098299E-2</v>
      </c>
      <c r="CI590" s="742">
        <v>5.5025480970899703E-2</v>
      </c>
      <c r="CJ590" s="745">
        <v>6.8737591868376307E-5</v>
      </c>
      <c r="CK590" s="745">
        <v>3.5049626871218403E-5</v>
      </c>
    </row>
    <row r="591" spans="2:89">
      <c r="B591" s="61" t="s">
        <v>110</v>
      </c>
      <c r="C591" t="s">
        <v>111</v>
      </c>
      <c r="D591">
        <v>0.64608534709087495</v>
      </c>
      <c r="E591">
        <v>8.0993091603221101E-2</v>
      </c>
      <c r="F591">
        <v>0.30603783419805197</v>
      </c>
      <c r="G591">
        <v>8.1696785959623597E-2</v>
      </c>
      <c r="H591">
        <v>5.0139108346718898E-2</v>
      </c>
      <c r="I591">
        <v>7.8755050603123503E-2</v>
      </c>
      <c r="J591">
        <v>8.1075780954567397E-2</v>
      </c>
      <c r="K591">
        <v>0.10474736443797</v>
      </c>
      <c r="L591">
        <v>0.24435247311625599</v>
      </c>
      <c r="M591">
        <v>1.4239881553984901</v>
      </c>
      <c r="N591">
        <v>1.42799592601103</v>
      </c>
      <c r="O591">
        <v>972.35397445659498</v>
      </c>
      <c r="P591">
        <v>932.24635528639806</v>
      </c>
      <c r="Q591">
        <v>971.74248471888802</v>
      </c>
      <c r="R591">
        <v>970.85323936530699</v>
      </c>
      <c r="S591">
        <v>969.57626303054997</v>
      </c>
      <c r="T591">
        <v>7.12277810851608</v>
      </c>
      <c r="U591">
        <v>7.7194000948016503</v>
      </c>
      <c r="V591">
        <v>976.12133486693097</v>
      </c>
      <c r="W591">
        <v>7.7113032921690801</v>
      </c>
      <c r="X591">
        <v>9.70601234576867</v>
      </c>
      <c r="Y591">
        <v>951.51085743026204</v>
      </c>
      <c r="Z591">
        <v>951.51086145972999</v>
      </c>
      <c r="AA591">
        <v>536.16233828106897</v>
      </c>
      <c r="AB591">
        <v>536.16232888270201</v>
      </c>
      <c r="AC591">
        <v>32.456128308058602</v>
      </c>
      <c r="AD591">
        <v>32.227669356314799</v>
      </c>
      <c r="AE591">
        <v>11.171251618693301</v>
      </c>
      <c r="AF591">
        <v>16.461987675442298</v>
      </c>
      <c r="AG591">
        <v>454.26330674855598</v>
      </c>
      <c r="AH591">
        <v>454.26330674855598</v>
      </c>
      <c r="AI591">
        <v>515.40864886810505</v>
      </c>
      <c r="AJ591">
        <v>515.40864886810505</v>
      </c>
      <c r="AL591">
        <v>619.00336616731602</v>
      </c>
      <c r="AM591">
        <v>619.01757350396804</v>
      </c>
      <c r="AN591">
        <v>607.16000827105302</v>
      </c>
      <c r="AO591">
        <v>606.13969204391697</v>
      </c>
      <c r="AP591">
        <v>13.6048483039005</v>
      </c>
      <c r="AQ591">
        <v>16.214614748875</v>
      </c>
      <c r="AR591">
        <v>8.98213281503795</v>
      </c>
      <c r="AS591">
        <v>8.02769779911476</v>
      </c>
      <c r="AT591">
        <v>5.5768154215654899</v>
      </c>
      <c r="AU591">
        <v>3.9548118628697</v>
      </c>
      <c r="AV591">
        <v>3.4408045763889299</v>
      </c>
      <c r="AW591">
        <v>3.4408045763889299</v>
      </c>
      <c r="AX591">
        <v>3.4408045763889299</v>
      </c>
      <c r="AY591">
        <v>479.028922861269</v>
      </c>
      <c r="AZ591">
        <v>33.297552431888398</v>
      </c>
      <c r="BA591">
        <v>3.0142746481139402</v>
      </c>
      <c r="BB591">
        <v>1.30510129848766</v>
      </c>
      <c r="BC591">
        <v>0.87132029932250099</v>
      </c>
      <c r="BD591">
        <v>0.87132029932250099</v>
      </c>
      <c r="BE591" s="755">
        <v>0.87132029932250099</v>
      </c>
      <c r="BF591" s="755">
        <v>15.244385627264201</v>
      </c>
      <c r="BH591">
        <v>10.1252236092805</v>
      </c>
      <c r="BI591">
        <v>10.1252236092805</v>
      </c>
      <c r="BJ591">
        <v>10.1252236092805</v>
      </c>
      <c r="BK591">
        <v>0.64608534709087495</v>
      </c>
      <c r="BL591">
        <v>1.1583064856015299</v>
      </c>
      <c r="BM591">
        <v>0.29760032135810699</v>
      </c>
      <c r="BN591">
        <v>0.38361931922782899</v>
      </c>
      <c r="BO591">
        <v>2.3750368410400702</v>
      </c>
      <c r="BP591">
        <v>7.7351784853041599</v>
      </c>
      <c r="BQ591">
        <v>848.76124975178902</v>
      </c>
      <c r="BR591">
        <v>3.7277634423802901</v>
      </c>
      <c r="BS591">
        <v>951.51086145972999</v>
      </c>
      <c r="BT591">
        <v>2.9814621321242298</v>
      </c>
      <c r="BU591">
        <v>515.40864886810505</v>
      </c>
      <c r="BV591">
        <v>454.26330674855598</v>
      </c>
      <c r="BW591">
        <v>2.8461942373423299</v>
      </c>
      <c r="CA591" s="62"/>
      <c r="CF591" s="742">
        <v>3.30247313163744E-4</v>
      </c>
      <c r="CG591" s="742">
        <v>1.5788588043534101E-3</v>
      </c>
      <c r="CH591" s="742">
        <v>0.99672950690261797</v>
      </c>
      <c r="CI591" s="742">
        <v>0.992312339820275</v>
      </c>
      <c r="CJ591" s="742">
        <v>2.8176910360486599E-3</v>
      </c>
      <c r="CK591" s="742">
        <v>9.5328178118534303E-4</v>
      </c>
    </row>
    <row r="592" spans="2:89">
      <c r="B592" s="61" t="s">
        <v>112</v>
      </c>
      <c r="C592" t="s">
        <v>113</v>
      </c>
      <c r="D592">
        <v>-234.20372408643999</v>
      </c>
      <c r="E592" s="44">
        <v>1.23569195339553E-12</v>
      </c>
      <c r="F592" s="44">
        <v>-2521.98254370931</v>
      </c>
      <c r="G592">
        <v>80.414667283346603</v>
      </c>
      <c r="H592">
        <v>3027.1273739102799</v>
      </c>
      <c r="I592">
        <v>424.73016291762798</v>
      </c>
      <c r="J592">
        <v>305.15990062950499</v>
      </c>
      <c r="K592">
        <v>-571.08689285226296</v>
      </c>
      <c r="L592">
        <v>-2064.7572455753402</v>
      </c>
      <c r="M592">
        <v>-2049.79330148297</v>
      </c>
      <c r="N592">
        <v>-2047.3820734301601</v>
      </c>
      <c r="O592">
        <v>6.2389658122348403E-2</v>
      </c>
      <c r="P592">
        <v>1.0178289695712099</v>
      </c>
      <c r="Q592">
        <v>0.48569427330498499</v>
      </c>
      <c r="R592">
        <v>0.32181605531889901</v>
      </c>
      <c r="S592">
        <v>0.210318640947326</v>
      </c>
      <c r="T592">
        <v>-2056.57452150174</v>
      </c>
      <c r="U592">
        <v>-2134.5515841931801</v>
      </c>
      <c r="V592">
        <v>0.50373377160787602</v>
      </c>
      <c r="W592">
        <v>-2135.05531796479</v>
      </c>
      <c r="X592">
        <v>-2321.9683741460699</v>
      </c>
      <c r="Y592">
        <v>0.94960590605955797</v>
      </c>
      <c r="Z592">
        <v>0.94960590605955797</v>
      </c>
      <c r="AA592">
        <v>2.2941614768945802</v>
      </c>
      <c r="AB592">
        <v>2.2941478321885498</v>
      </c>
      <c r="AC592">
        <v>-7.5544725295093901E-2</v>
      </c>
      <c r="AD592">
        <v>-7.5420127579624699E-2</v>
      </c>
      <c r="AE592">
        <v>-2417.67277874816</v>
      </c>
      <c r="AF592">
        <v>-2620.8361138778801</v>
      </c>
      <c r="AG592">
        <v>-909.09170100666995</v>
      </c>
      <c r="AH592">
        <v>-909.09170100666995</v>
      </c>
      <c r="AI592">
        <v>35.895946863088703</v>
      </c>
      <c r="AJ592">
        <v>35.895946863088703</v>
      </c>
      <c r="AL592">
        <v>37.274097950469297</v>
      </c>
      <c r="AM592">
        <v>37.399965586667498</v>
      </c>
      <c r="AN592">
        <v>-5.5671031362967804</v>
      </c>
      <c r="AO592">
        <v>-5.6912882204061699</v>
      </c>
      <c r="AP592">
        <v>-1824.02750371506</v>
      </c>
      <c r="AQ592">
        <v>-1924.95649138468</v>
      </c>
      <c r="AR592">
        <v>-662.0281489061</v>
      </c>
      <c r="AS592">
        <v>-635.99693886343402</v>
      </c>
      <c r="AT592">
        <v>-527.117991163694</v>
      </c>
      <c r="AU592">
        <v>-377.95095038177197</v>
      </c>
      <c r="AV592">
        <v>-299.97388769032301</v>
      </c>
      <c r="AW592">
        <v>-284.956335073106</v>
      </c>
      <c r="AX592">
        <v>-15.0175526172159</v>
      </c>
      <c r="AY592">
        <v>-1351.18889874503</v>
      </c>
      <c r="AZ592">
        <v>-1351.18889874503</v>
      </c>
      <c r="BA592">
        <v>-1276.28954921486</v>
      </c>
      <c r="BB592">
        <v>-1203.06327499073</v>
      </c>
      <c r="BC592">
        <v>-1165.3164747071</v>
      </c>
      <c r="BD592">
        <v>-5.82658237353552</v>
      </c>
      <c r="BE592" s="755">
        <v>-1159.48989233357</v>
      </c>
      <c r="BF592" s="755">
        <v>-857.73901409268603</v>
      </c>
      <c r="BH592">
        <v>-836.67896485798997</v>
      </c>
      <c r="BI592">
        <v>-832.49557003370001</v>
      </c>
      <c r="BJ592">
        <v>-4.1833948242899499</v>
      </c>
      <c r="BK592">
        <v>-391.28069153667502</v>
      </c>
      <c r="BL592">
        <v>7.4076320052932099</v>
      </c>
      <c r="BM592">
        <v>-2953.7726323986799</v>
      </c>
      <c r="BN592">
        <v>-136.55734014985401</v>
      </c>
      <c r="BO592">
        <v>0.491548966155754</v>
      </c>
      <c r="BP592">
        <v>-10.837022182498201</v>
      </c>
      <c r="BQ592">
        <v>-4235.7231537562002</v>
      </c>
      <c r="BR592">
        <v>-3359.4763602744301</v>
      </c>
      <c r="BS592">
        <v>0.94960590605955797</v>
      </c>
      <c r="BT592">
        <v>-10.3329043408402</v>
      </c>
      <c r="BU592">
        <v>35.895946863088703</v>
      </c>
      <c r="BV592">
        <v>-909.09170100666995</v>
      </c>
      <c r="BW592">
        <v>-3239.9226587580101</v>
      </c>
      <c r="CA592" s="62"/>
      <c r="CF592" s="742">
        <v>-478658355.38571298</v>
      </c>
      <c r="CG592" s="742">
        <v>-262810085.04712701</v>
      </c>
      <c r="CH592" s="742">
        <v>-325483095.45491898</v>
      </c>
      <c r="CI592" s="742">
        <v>-52977744.836906299</v>
      </c>
      <c r="CJ592" s="742">
        <v>-251374864.828511</v>
      </c>
      <c r="CK592" s="742">
        <v>-54810626.345296197</v>
      </c>
    </row>
    <row r="593" spans="2:89">
      <c r="B593" s="61" t="s">
        <v>114</v>
      </c>
      <c r="D593">
        <v>16.042760000000001</v>
      </c>
      <c r="E593">
        <v>2.0158800000000001</v>
      </c>
      <c r="F593">
        <v>6.2395656399067496</v>
      </c>
      <c r="G593">
        <v>6.2395656399067496</v>
      </c>
      <c r="H593">
        <v>6.0794720415955199</v>
      </c>
      <c r="I593">
        <v>6.0794720415955199</v>
      </c>
      <c r="J593">
        <v>6.0794720415955199</v>
      </c>
      <c r="K593">
        <v>6.0794720415955199</v>
      </c>
      <c r="L593">
        <v>6.0794720415955199</v>
      </c>
      <c r="M593">
        <v>6.0794720415955199</v>
      </c>
      <c r="N593">
        <v>6.0965145956697198</v>
      </c>
      <c r="O593">
        <v>127.150993028663</v>
      </c>
      <c r="P593">
        <v>126.092458693159</v>
      </c>
      <c r="Q593">
        <v>126.667170567482</v>
      </c>
      <c r="R593">
        <v>125.96907087924301</v>
      </c>
      <c r="S593">
        <v>124.977462759994</v>
      </c>
      <c r="T593">
        <v>6.0848690743636498</v>
      </c>
      <c r="U593">
        <v>6.0848690743636498</v>
      </c>
      <c r="V593">
        <v>121.194733061766</v>
      </c>
      <c r="W593">
        <v>6.07875856218911</v>
      </c>
      <c r="X593">
        <v>6.07875856218911</v>
      </c>
      <c r="Y593">
        <v>75.302284427996298</v>
      </c>
      <c r="Z593">
        <v>75.302284427996298</v>
      </c>
      <c r="AA593">
        <v>80.250165170553004</v>
      </c>
      <c r="AB593">
        <v>80.250175756393105</v>
      </c>
      <c r="AC593">
        <v>19.335894629455598</v>
      </c>
      <c r="AD593">
        <v>19.339998890979999</v>
      </c>
      <c r="AE593">
        <v>6.0612910200932397</v>
      </c>
      <c r="AF593">
        <v>6.0612910200932397</v>
      </c>
      <c r="AG593">
        <v>16.765723797294701</v>
      </c>
      <c r="AH593">
        <v>16.765723797294701</v>
      </c>
      <c r="AI593">
        <v>28.191875738951499</v>
      </c>
      <c r="AJ593">
        <v>28.191875738951499</v>
      </c>
      <c r="AL593">
        <v>28.043142631269799</v>
      </c>
      <c r="AM593">
        <v>28.042196633798898</v>
      </c>
      <c r="AN593">
        <v>31.0022469996984</v>
      </c>
      <c r="AO593">
        <v>31.102473727441101</v>
      </c>
      <c r="AP593">
        <v>4.6905828923361002</v>
      </c>
      <c r="AQ593">
        <v>4.6905828923361002</v>
      </c>
      <c r="AR593">
        <v>2.5282208139856399</v>
      </c>
      <c r="AS593">
        <v>2.5282208139856501</v>
      </c>
      <c r="AT593">
        <v>2.5282208139856501</v>
      </c>
      <c r="AU593">
        <v>2.5282208139856501</v>
      </c>
      <c r="AV593">
        <v>2.5282208139856501</v>
      </c>
      <c r="AW593">
        <v>2.5282208139856501</v>
      </c>
      <c r="AX593">
        <v>2.5282208139856501</v>
      </c>
      <c r="AY593">
        <v>15.731078050691099</v>
      </c>
      <c r="AZ593">
        <v>15.731078050691099</v>
      </c>
      <c r="BA593">
        <v>15.731078050691099</v>
      </c>
      <c r="BB593">
        <v>15.731078050691099</v>
      </c>
      <c r="BC593">
        <v>15.731078050691099</v>
      </c>
      <c r="BD593">
        <v>15.731078050691099</v>
      </c>
      <c r="BE593" s="755">
        <v>15.731078050691099</v>
      </c>
      <c r="BF593" s="755">
        <v>15.5702511632145</v>
      </c>
      <c r="BH593">
        <v>15.5702511632145</v>
      </c>
      <c r="BI593">
        <v>15.5702511632145</v>
      </c>
      <c r="BJ593">
        <v>15.5702511632145</v>
      </c>
      <c r="BK593">
        <v>16.042760000000001</v>
      </c>
      <c r="BL593">
        <v>28.810544</v>
      </c>
      <c r="BM593">
        <v>27.670563285714302</v>
      </c>
      <c r="BN593">
        <v>31.251595856163799</v>
      </c>
      <c r="BO593">
        <v>2.0158800000000001</v>
      </c>
      <c r="BP593">
        <v>6.4879199413115103</v>
      </c>
      <c r="BQ593">
        <v>18.015280000000001</v>
      </c>
      <c r="BR593">
        <v>18.015280000000001</v>
      </c>
      <c r="BS593">
        <v>75.302284427996298</v>
      </c>
      <c r="BT593">
        <v>2.5282208139856501</v>
      </c>
      <c r="BU593">
        <v>28.191875738951499</v>
      </c>
      <c r="BV593">
        <v>16.765723797294701</v>
      </c>
      <c r="BW593">
        <v>18.015280000000001</v>
      </c>
      <c r="CA593" s="62"/>
      <c r="CF593" s="742">
        <v>27.445000503568</v>
      </c>
      <c r="CG593" s="742">
        <v>38.503228697640203</v>
      </c>
      <c r="CH593" s="742">
        <v>18.026011765244501</v>
      </c>
      <c r="CI593" s="742">
        <v>18.033687708155799</v>
      </c>
      <c r="CJ593" s="742">
        <v>40.991995201754797</v>
      </c>
      <c r="CK593" s="742">
        <v>27.198057904808898</v>
      </c>
    </row>
    <row r="594" spans="2:89">
      <c r="B594" s="61" t="s">
        <v>115</v>
      </c>
      <c r="C594" t="s">
        <v>116</v>
      </c>
      <c r="D594">
        <v>13186.8</v>
      </c>
      <c r="E594" s="44">
        <v>3.5999999999999998E-8</v>
      </c>
      <c r="F594" s="44">
        <v>443194.99680805899</v>
      </c>
      <c r="G594">
        <v>443194.99680805899</v>
      </c>
      <c r="H594">
        <v>450350.80750631797</v>
      </c>
      <c r="I594">
        <v>450350.80750631797</v>
      </c>
      <c r="J594">
        <v>450350.80750631797</v>
      </c>
      <c r="K594">
        <v>450350.80750631797</v>
      </c>
      <c r="L594">
        <v>450350.80750631797</v>
      </c>
      <c r="M594">
        <v>450350.80750631797</v>
      </c>
      <c r="N594">
        <v>450380.747598249</v>
      </c>
      <c r="O594">
        <v>2.6468431570019</v>
      </c>
      <c r="P594">
        <v>43.704890737815198</v>
      </c>
      <c r="Q594">
        <v>20.718828366104599</v>
      </c>
      <c r="R594">
        <v>13.8381373785798</v>
      </c>
      <c r="S594">
        <v>9.1479249931308093</v>
      </c>
      <c r="T594">
        <v>450337.04270751198</v>
      </c>
      <c r="U594">
        <v>450337.04270751198</v>
      </c>
      <c r="V594">
        <v>23.904501474022499</v>
      </c>
      <c r="W594">
        <v>450313.13820603502</v>
      </c>
      <c r="X594">
        <v>450313.13820603502</v>
      </c>
      <c r="Y594">
        <v>115.395650214464</v>
      </c>
      <c r="Z594">
        <v>115.395650214464</v>
      </c>
      <c r="AA594">
        <v>106.0224128696</v>
      </c>
      <c r="AB594">
        <v>106.021762854188</v>
      </c>
      <c r="AC594">
        <v>9.3732373448638509</v>
      </c>
      <c r="AD594">
        <v>9.3738873602756794</v>
      </c>
      <c r="AE594">
        <v>450207.11318813299</v>
      </c>
      <c r="AF594">
        <v>450207.11318813299</v>
      </c>
      <c r="AG594">
        <v>51105.204823542801</v>
      </c>
      <c r="AH594">
        <v>51105.204823542801</v>
      </c>
      <c r="AI594">
        <v>4840.4920823782504</v>
      </c>
      <c r="AJ594">
        <v>4840.4920823782504</v>
      </c>
      <c r="AL594">
        <v>4597.1950098197103</v>
      </c>
      <c r="AM594">
        <v>4603.7421080397698</v>
      </c>
      <c r="AN594">
        <v>243.297072558547</v>
      </c>
      <c r="AO594">
        <v>236.74997433848799</v>
      </c>
      <c r="AP594">
        <v>399101.90836458898</v>
      </c>
      <c r="AQ594">
        <v>399101.90836458898</v>
      </c>
      <c r="AR594">
        <v>333730.167719586</v>
      </c>
      <c r="AS594">
        <v>333730.167719586</v>
      </c>
      <c r="AT594">
        <v>333730.167719586</v>
      </c>
      <c r="AU594">
        <v>333730.167719586</v>
      </c>
      <c r="AV594">
        <v>333730.167719586</v>
      </c>
      <c r="AW594">
        <v>317022.67897024797</v>
      </c>
      <c r="AX594">
        <v>16707.488749337801</v>
      </c>
      <c r="AY594">
        <v>65364.853658966596</v>
      </c>
      <c r="AZ594">
        <v>65364.853658966596</v>
      </c>
      <c r="BA594">
        <v>65364.853658966596</v>
      </c>
      <c r="BB594">
        <v>65364.853658966596</v>
      </c>
      <c r="BC594">
        <v>65364.853658966596</v>
      </c>
      <c r="BD594">
        <v>326.824268294832</v>
      </c>
      <c r="BE594" s="755">
        <v>65038.029390671698</v>
      </c>
      <c r="BF594" s="755">
        <v>46264.712741164403</v>
      </c>
      <c r="BH594">
        <v>46264.712741164403</v>
      </c>
      <c r="BI594">
        <v>46033.389177458703</v>
      </c>
      <c r="BJ594">
        <v>231.32356370582201</v>
      </c>
      <c r="BK594">
        <v>22030.991365668699</v>
      </c>
      <c r="BL594">
        <v>224716.111929821</v>
      </c>
      <c r="BM594">
        <v>246747.10329549</v>
      </c>
      <c r="BN594">
        <v>10766.573300735199</v>
      </c>
      <c r="BO594">
        <v>14793.389479691899</v>
      </c>
      <c r="BP594">
        <v>1914.09926964592</v>
      </c>
      <c r="BQ594">
        <v>61674.232600000003</v>
      </c>
      <c r="BR594">
        <v>61674.232600000003</v>
      </c>
      <c r="BS594">
        <v>115.395650214464</v>
      </c>
      <c r="BT594">
        <v>16707.488749337801</v>
      </c>
      <c r="BU594">
        <v>4840.4920823782504</v>
      </c>
      <c r="BV594">
        <v>51105.204823542801</v>
      </c>
      <c r="BW594">
        <v>61674.232600000003</v>
      </c>
      <c r="CA594" s="62"/>
      <c r="CF594" s="753">
        <v>31777.394123503502</v>
      </c>
      <c r="CG594" s="753">
        <v>14616.803798696699</v>
      </c>
      <c r="CH594" s="753">
        <v>17160.560097931299</v>
      </c>
      <c r="CI594" s="753">
        <v>2804.7741746988399</v>
      </c>
      <c r="CJ594" s="753">
        <v>10115.2302189251</v>
      </c>
      <c r="CK594" s="753">
        <v>7305.5969012559199</v>
      </c>
    </row>
    <row r="595" spans="2:89">
      <c r="B595" s="61" t="s">
        <v>132</v>
      </c>
      <c r="C595" t="s">
        <v>116</v>
      </c>
      <c r="D595">
        <v>0</v>
      </c>
      <c r="E595" s="44">
        <v>3.5999999999999998E-8</v>
      </c>
      <c r="F595">
        <v>310009.61046183802</v>
      </c>
      <c r="G595">
        <v>310009.61046183802</v>
      </c>
      <c r="H595">
        <v>324851.28119043697</v>
      </c>
      <c r="I595">
        <v>324851.28119043697</v>
      </c>
      <c r="J595">
        <v>324851.28119043697</v>
      </c>
      <c r="K595">
        <v>324851.28119043697</v>
      </c>
      <c r="L595">
        <v>324851.28119043697</v>
      </c>
      <c r="M595">
        <v>324851.28119043697</v>
      </c>
      <c r="N595">
        <v>324826.33675208798</v>
      </c>
      <c r="O595">
        <v>4.0996797986407301E-3</v>
      </c>
      <c r="P595">
        <v>0.143213390864768</v>
      </c>
      <c r="Q595">
        <v>4.79812756771427E-2</v>
      </c>
      <c r="R595">
        <v>4.79061956471604E-2</v>
      </c>
      <c r="S595">
        <v>4.7325919540464403E-2</v>
      </c>
      <c r="T595">
        <v>324826.19353869703</v>
      </c>
      <c r="U595">
        <v>324826.19353869703</v>
      </c>
      <c r="V595">
        <v>0.16665586495863999</v>
      </c>
      <c r="W595">
        <v>324826.02688283002</v>
      </c>
      <c r="X595">
        <v>324826.02688283002</v>
      </c>
      <c r="Y595">
        <v>0.56129678774373803</v>
      </c>
      <c r="Z595">
        <v>0.56129678774373803</v>
      </c>
      <c r="AA595" s="44">
        <v>6.8006953559658196E-8</v>
      </c>
      <c r="AB595" s="44">
        <v>1.65695853675797E-8</v>
      </c>
      <c r="AC595">
        <v>0.56129671973678297</v>
      </c>
      <c r="AD595">
        <v>0.56129677117415</v>
      </c>
      <c r="AE595">
        <v>324826.02687003301</v>
      </c>
      <c r="AF595">
        <v>324826.02687003301</v>
      </c>
      <c r="AG595">
        <v>1558.7707671114299</v>
      </c>
      <c r="AH595">
        <v>1558.7707671114299</v>
      </c>
      <c r="AI595" s="44">
        <v>1.8455037199316698E-11</v>
      </c>
      <c r="AJ595" s="44">
        <v>1.8455037199316698E-11</v>
      </c>
      <c r="AL595" s="44">
        <v>1.8455037199162801E-11</v>
      </c>
      <c r="AM595" s="44">
        <v>1.8455037199221799E-11</v>
      </c>
      <c r="AN595" s="44">
        <v>6.7871308442134601E-154</v>
      </c>
      <c r="AO595" s="44">
        <v>9.4909228369344197E-23</v>
      </c>
      <c r="AP595">
        <v>323267.25610292202</v>
      </c>
      <c r="AQ595">
        <v>323267.25610292202</v>
      </c>
      <c r="AR595">
        <v>321541.08245857101</v>
      </c>
      <c r="AS595">
        <v>321541.08245857101</v>
      </c>
      <c r="AT595">
        <v>321541.08245857101</v>
      </c>
      <c r="AU595">
        <v>321541.08245857101</v>
      </c>
      <c r="AV595">
        <v>321541.08245857101</v>
      </c>
      <c r="AW595">
        <v>305443.814254336</v>
      </c>
      <c r="AX595">
        <v>16097.268204234901</v>
      </c>
      <c r="AY595">
        <v>1719.5382609523599</v>
      </c>
      <c r="AZ595">
        <v>1719.5382609523599</v>
      </c>
      <c r="BA595">
        <v>1719.5382609523599</v>
      </c>
      <c r="BB595">
        <v>1719.5382609523599</v>
      </c>
      <c r="BC595" s="742">
        <v>1719.5382609523599</v>
      </c>
      <c r="BD595" s="742">
        <v>8.5976913047617707</v>
      </c>
      <c r="BE595">
        <v>1710.9405696475901</v>
      </c>
      <c r="BF595">
        <v>1558.7707671114099</v>
      </c>
      <c r="BH595">
        <v>1558.7707671114099</v>
      </c>
      <c r="BI595">
        <v>1550.9769132758599</v>
      </c>
      <c r="BJ595">
        <v>7.7938538355570897</v>
      </c>
      <c r="BK595">
        <v>0</v>
      </c>
      <c r="BL595">
        <v>0</v>
      </c>
      <c r="BM595">
        <v>0</v>
      </c>
      <c r="BN595">
        <v>0</v>
      </c>
      <c r="BO595">
        <v>14793.389479691899</v>
      </c>
      <c r="BP595">
        <v>1303.8787245430301</v>
      </c>
      <c r="BQ595">
        <v>0</v>
      </c>
      <c r="BR595">
        <v>0</v>
      </c>
      <c r="BS595">
        <v>0.56129678774373803</v>
      </c>
      <c r="BT595">
        <v>16097.268204234901</v>
      </c>
      <c r="BU595" s="44">
        <v>1.8455037199316698E-11</v>
      </c>
      <c r="BV595">
        <v>1558.7707671114299</v>
      </c>
      <c r="BW595">
        <v>0</v>
      </c>
      <c r="CA595" s="62"/>
      <c r="CF595" s="742">
        <v>0</v>
      </c>
      <c r="CG595" s="742">
        <v>0</v>
      </c>
      <c r="CH595" s="742">
        <v>0</v>
      </c>
      <c r="CI595" s="742">
        <v>1.1987772125164999</v>
      </c>
      <c r="CJ595" s="745">
        <v>4.2410179323841301E-5</v>
      </c>
      <c r="CK595" s="742">
        <v>1.19873480233718</v>
      </c>
    </row>
    <row r="596" spans="2:89">
      <c r="B596" s="61" t="s">
        <v>131</v>
      </c>
      <c r="C596" t="s">
        <v>116</v>
      </c>
      <c r="D596">
        <v>13186.8</v>
      </c>
      <c r="E596">
        <v>0</v>
      </c>
      <c r="F596" s="44">
        <v>132874.662027554</v>
      </c>
      <c r="G596">
        <v>132874.662027554</v>
      </c>
      <c r="H596">
        <v>120242.141873235</v>
      </c>
      <c r="I596">
        <v>120242.141873235</v>
      </c>
      <c r="J596">
        <v>120242.141873235</v>
      </c>
      <c r="K596">
        <v>120242.141873235</v>
      </c>
      <c r="L596">
        <v>120242.141873235</v>
      </c>
      <c r="M596">
        <v>120242.141873235</v>
      </c>
      <c r="N596">
        <v>120233.62541668001</v>
      </c>
      <c r="O596">
        <v>9.9678673230848107E-3</v>
      </c>
      <c r="P596">
        <v>0.34194178127495001</v>
      </c>
      <c r="Q596">
        <v>0.11587549488712399</v>
      </c>
      <c r="R596">
        <v>0.114547374504038</v>
      </c>
      <c r="S596">
        <v>0.111518911883788</v>
      </c>
      <c r="T596">
        <v>120233.283474899</v>
      </c>
      <c r="U596">
        <v>120233.283474899</v>
      </c>
      <c r="V596">
        <v>0.50019155696088102</v>
      </c>
      <c r="W596">
        <v>120232.78328334101</v>
      </c>
      <c r="X596" s="44">
        <v>120232.78328334101</v>
      </c>
      <c r="Y596" s="44">
        <v>5.6681921200263901</v>
      </c>
      <c r="Z596">
        <v>5.6681921200263901</v>
      </c>
      <c r="AA596" s="44">
        <v>1.5548707084118301E-5</v>
      </c>
      <c r="AB596" s="44">
        <v>8.5452828171910906E-6</v>
      </c>
      <c r="AC596">
        <v>5.6681765713193002</v>
      </c>
      <c r="AD596">
        <v>5.6681835747435603</v>
      </c>
      <c r="AE596" s="44">
        <v>120232.78314018001</v>
      </c>
      <c r="AF596" s="44">
        <v>120232.78314018001</v>
      </c>
      <c r="AG596" s="44">
        <v>44710.0629280801</v>
      </c>
      <c r="AH596" s="44">
        <v>44710.0629280801</v>
      </c>
      <c r="AI596" s="44">
        <v>4.4710069524104599</v>
      </c>
      <c r="AJ596" s="44">
        <v>4.4710069524104599</v>
      </c>
      <c r="AL596">
        <v>4.4710069523731804</v>
      </c>
      <c r="AM596">
        <v>4.4710069524104599</v>
      </c>
      <c r="AN596" s="44">
        <v>1.65224575720628E-64</v>
      </c>
      <c r="AO596" s="44">
        <v>1.99706048132144E-30</v>
      </c>
      <c r="AP596">
        <v>75522.720212099302</v>
      </c>
      <c r="AQ596">
        <v>75522.720212099302</v>
      </c>
      <c r="AR596">
        <v>12188.357084836</v>
      </c>
      <c r="AS596">
        <v>12188.357084836</v>
      </c>
      <c r="AT596">
        <v>12188.357084836</v>
      </c>
      <c r="AU596">
        <v>12188.357084836</v>
      </c>
      <c r="AV596">
        <v>12188.357084836</v>
      </c>
      <c r="AW596">
        <v>11578.172994319801</v>
      </c>
      <c r="AX596">
        <v>610.18409051624405</v>
      </c>
      <c r="AY596">
        <v>63334.111538890902</v>
      </c>
      <c r="AZ596">
        <v>63334.111538890902</v>
      </c>
      <c r="BA596">
        <v>63334.111538890902</v>
      </c>
      <c r="BB596">
        <v>63334.111538890902</v>
      </c>
      <c r="BC596">
        <v>63334.111538890902</v>
      </c>
      <c r="BD596">
        <v>316.67055769445398</v>
      </c>
      <c r="BE596" s="755">
        <v>63017.4409811964</v>
      </c>
      <c r="BF596" s="755">
        <v>44705.591921127598</v>
      </c>
      <c r="BH596">
        <v>44705.591921127598</v>
      </c>
      <c r="BI596">
        <v>44482.063961522101</v>
      </c>
      <c r="BJ596">
        <v>223.52795960563799</v>
      </c>
      <c r="BK596" s="44">
        <v>22030.991365668699</v>
      </c>
      <c r="BL596" s="44">
        <v>0</v>
      </c>
      <c r="BM596">
        <v>0</v>
      </c>
      <c r="BN596">
        <v>0</v>
      </c>
      <c r="BO596">
        <v>0</v>
      </c>
      <c r="BP596">
        <v>610.18409051624405</v>
      </c>
      <c r="BQ596">
        <v>0</v>
      </c>
      <c r="BR596">
        <v>0</v>
      </c>
      <c r="BS596">
        <v>5.6681921200263901</v>
      </c>
      <c r="BT596">
        <v>610.18409051624405</v>
      </c>
      <c r="BU596">
        <v>4.4710069524104599</v>
      </c>
      <c r="BV596">
        <v>44710.0629280801</v>
      </c>
      <c r="BW596">
        <v>0</v>
      </c>
      <c r="CA596" s="62"/>
      <c r="CF596" s="742">
        <v>0</v>
      </c>
      <c r="CG596" s="742">
        <v>0</v>
      </c>
      <c r="CH596" s="742">
        <v>0</v>
      </c>
      <c r="CI596" s="742">
        <v>0</v>
      </c>
      <c r="CJ596" s="742">
        <v>0</v>
      </c>
      <c r="CK596" s="742">
        <v>0</v>
      </c>
    </row>
    <row r="597" spans="2:89">
      <c r="B597" s="61" t="s">
        <v>133</v>
      </c>
      <c r="C597" t="s">
        <v>116</v>
      </c>
      <c r="D597">
        <v>0</v>
      </c>
      <c r="E597">
        <v>0</v>
      </c>
      <c r="F597">
        <v>4.3662291684455603</v>
      </c>
      <c r="G597">
        <v>4.3662291684455603</v>
      </c>
      <c r="H597">
        <v>235.823703952568</v>
      </c>
      <c r="I597">
        <v>235.823703952568</v>
      </c>
      <c r="J597">
        <v>235.823703952568</v>
      </c>
      <c r="K597">
        <v>235.823703952568</v>
      </c>
      <c r="L597">
        <v>235.823703952568</v>
      </c>
      <c r="M597">
        <v>235.823703952568</v>
      </c>
      <c r="N597">
        <v>235.817498988268</v>
      </c>
      <c r="O597">
        <v>1.3602747757126399E-4</v>
      </c>
      <c r="P597">
        <v>4.5702701630099601E-3</v>
      </c>
      <c r="Q597">
        <v>1.5690899407598601E-3</v>
      </c>
      <c r="R597">
        <v>1.53339269534228E-3</v>
      </c>
      <c r="S597">
        <v>1.46778752690782E-3</v>
      </c>
      <c r="T597">
        <v>235.81292871810601</v>
      </c>
      <c r="U597">
        <v>235.81292871810601</v>
      </c>
      <c r="V597">
        <v>7.8329558144488703E-3</v>
      </c>
      <c r="W597">
        <v>235.80509576228999</v>
      </c>
      <c r="X597" s="44">
        <v>235.80509576228999</v>
      </c>
      <c r="Y597" s="44">
        <v>0.25380746396661902</v>
      </c>
      <c r="Z597">
        <v>0.25380746396661902</v>
      </c>
      <c r="AA597" s="44">
        <v>7.0808676493219804E-5</v>
      </c>
      <c r="AB597" s="44">
        <v>8.9010307817664604E-5</v>
      </c>
      <c r="AC597">
        <v>0.25373665529012501</v>
      </c>
      <c r="AD597">
        <v>0.25371845365880102</v>
      </c>
      <c r="AE597">
        <v>235.80501931781299</v>
      </c>
      <c r="AF597">
        <v>235.80501931781299</v>
      </c>
      <c r="AG597">
        <v>231.41706137573499</v>
      </c>
      <c r="AH597">
        <v>231.41706137573499</v>
      </c>
      <c r="AI597" s="44">
        <v>231.41685771725699</v>
      </c>
      <c r="AJ597" s="44">
        <v>231.41685771725699</v>
      </c>
      <c r="AL597">
        <v>2.4263100788172798</v>
      </c>
      <c r="AM597">
        <v>0.23141685771725701</v>
      </c>
      <c r="AN597">
        <v>228.99054767450801</v>
      </c>
      <c r="AO597">
        <v>231.18544085953999</v>
      </c>
      <c r="AP597">
        <v>4.3879579420771799</v>
      </c>
      <c r="AQ597">
        <v>4.3879579420771799</v>
      </c>
      <c r="AR597">
        <v>1.6820993013511201E-3</v>
      </c>
      <c r="AS597">
        <v>1.6820993013511201E-3</v>
      </c>
      <c r="AT597">
        <v>1.6820993013511201E-3</v>
      </c>
      <c r="AU597">
        <v>1.6820993013511201E-3</v>
      </c>
      <c r="AV597">
        <v>1.6820993013511201E-3</v>
      </c>
      <c r="AW597">
        <v>1.5978885890123801E-3</v>
      </c>
      <c r="AX597" s="44">
        <v>8.4210712338737904E-5</v>
      </c>
      <c r="AY597">
        <v>4.3862758079986897</v>
      </c>
      <c r="AZ597">
        <v>4.3862758079986897</v>
      </c>
      <c r="BA597">
        <v>4.3862758079986897</v>
      </c>
      <c r="BB597">
        <v>4.3862758079986897</v>
      </c>
      <c r="BC597">
        <v>4.3862758079986897</v>
      </c>
      <c r="BD597">
        <v>2.1931379039993398E-2</v>
      </c>
      <c r="BE597" s="755">
        <v>4.3643444289586899</v>
      </c>
      <c r="BF597" s="755">
        <v>2.0365847792892401E-4</v>
      </c>
      <c r="BH597">
        <v>2.0365847792892401E-4</v>
      </c>
      <c r="BI597">
        <v>2.0264018553928001E-4</v>
      </c>
      <c r="BJ597" s="44">
        <v>1.0182923896446199E-6</v>
      </c>
      <c r="BK597">
        <v>0</v>
      </c>
      <c r="BL597">
        <v>0</v>
      </c>
      <c r="BM597">
        <v>0</v>
      </c>
      <c r="BN597">
        <v>0</v>
      </c>
      <c r="BO597">
        <v>0</v>
      </c>
      <c r="BP597" s="44">
        <v>8.4210712338737904E-5</v>
      </c>
      <c r="BQ597">
        <v>0</v>
      </c>
      <c r="BR597">
        <v>0</v>
      </c>
      <c r="BS597">
        <v>0.25380746396661902</v>
      </c>
      <c r="BT597" s="44">
        <v>8.4210712338737904E-5</v>
      </c>
      <c r="BU597">
        <v>231.41685771725699</v>
      </c>
      <c r="BV597">
        <v>231.41706137573499</v>
      </c>
      <c r="BW597">
        <v>0</v>
      </c>
      <c r="CA597" s="62"/>
      <c r="CF597" s="742">
        <v>0</v>
      </c>
      <c r="CG597" s="742">
        <v>0</v>
      </c>
      <c r="CH597" s="742">
        <v>0</v>
      </c>
      <c r="CI597" s="742">
        <v>0</v>
      </c>
      <c r="CJ597" s="742">
        <v>0</v>
      </c>
      <c r="CK597" s="742">
        <v>0</v>
      </c>
    </row>
    <row r="598" spans="2:89">
      <c r="B598" s="61" t="s">
        <v>134</v>
      </c>
      <c r="C598" t="s">
        <v>116</v>
      </c>
      <c r="D598">
        <v>0</v>
      </c>
      <c r="E598">
        <v>0</v>
      </c>
      <c r="F598">
        <v>306.35808792004599</v>
      </c>
      <c r="G598">
        <v>306.35808792004599</v>
      </c>
      <c r="H598">
        <v>4907.7873508891598</v>
      </c>
      <c r="I598">
        <v>4907.7873508891598</v>
      </c>
      <c r="J598">
        <v>4907.7873508891598</v>
      </c>
      <c r="K598">
        <v>4907.7873508891598</v>
      </c>
      <c r="L598">
        <v>4907.7873508891598</v>
      </c>
      <c r="M598">
        <v>4907.7873508891598</v>
      </c>
      <c r="N598">
        <v>4907.5649749143104</v>
      </c>
      <c r="O598">
        <v>1.8933598455359701E-3</v>
      </c>
      <c r="P598">
        <v>6.4026436526554695E-2</v>
      </c>
      <c r="Q598">
        <v>2.1892961860642199E-2</v>
      </c>
      <c r="R598">
        <v>2.14716686673261E-2</v>
      </c>
      <c r="S598">
        <v>2.0661805998586299E-2</v>
      </c>
      <c r="T598">
        <v>4907.5009484778102</v>
      </c>
      <c r="U598">
        <v>4907.5009484778102</v>
      </c>
      <c r="V598">
        <v>0.107024636433141</v>
      </c>
      <c r="W598">
        <v>4907.3939238413304</v>
      </c>
      <c r="X598">
        <v>4907.3939238413304</v>
      </c>
      <c r="Y598">
        <v>2.8809436743283698</v>
      </c>
      <c r="Z598">
        <v>2.8809436743283698</v>
      </c>
      <c r="AA598">
        <v>2.8951269301687399E-4</v>
      </c>
      <c r="AB598">
        <v>2.8809436743207898E-4</v>
      </c>
      <c r="AC598">
        <v>2.8806541616353498</v>
      </c>
      <c r="AD598">
        <v>2.8806555799609299</v>
      </c>
      <c r="AE598">
        <v>4907.3935734994402</v>
      </c>
      <c r="AF598">
        <v>4907.3935734994402</v>
      </c>
      <c r="AG598">
        <v>4599.8494834599796</v>
      </c>
      <c r="AH598">
        <v>4599.8494834599796</v>
      </c>
      <c r="AI598">
        <v>4599.49963419304</v>
      </c>
      <c r="AJ598">
        <v>4599.49963419304</v>
      </c>
      <c r="AL598">
        <v>4590.2976927885002</v>
      </c>
      <c r="AM598">
        <v>4599.0396842296204</v>
      </c>
      <c r="AN598">
        <v>9.2019413677052704</v>
      </c>
      <c r="AO598">
        <v>0.459949963418538</v>
      </c>
      <c r="AP598">
        <v>307.54409003946699</v>
      </c>
      <c r="AQ598">
        <v>307.54409003946699</v>
      </c>
      <c r="AR598">
        <v>0.72649407953345402</v>
      </c>
      <c r="AS598">
        <v>0.72649407953345402</v>
      </c>
      <c r="AT598">
        <v>0.72649407953345402</v>
      </c>
      <c r="AU598">
        <v>0.72649407953345402</v>
      </c>
      <c r="AV598">
        <v>0.72649407953345402</v>
      </c>
      <c r="AW598">
        <v>0.69012370360009101</v>
      </c>
      <c r="AX598">
        <v>3.63703759333633E-2</v>
      </c>
      <c r="AY598">
        <v>306.81758172855803</v>
      </c>
      <c r="AZ598">
        <v>306.81758172855803</v>
      </c>
      <c r="BA598">
        <v>306.81758172855803</v>
      </c>
      <c r="BB598">
        <v>306.81758172855803</v>
      </c>
      <c r="BC598">
        <v>306.81758172855803</v>
      </c>
      <c r="BD598">
        <v>1.5340879086427901</v>
      </c>
      <c r="BE598" s="755">
        <v>305.28349381991501</v>
      </c>
      <c r="BF598" s="755">
        <v>0.34984926693396501</v>
      </c>
      <c r="BH598">
        <v>0.34984926693396501</v>
      </c>
      <c r="BI598">
        <v>0.34810002059929701</v>
      </c>
      <c r="BJ598">
        <v>1.7492463346698299E-3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3.6370375933363203E-2</v>
      </c>
      <c r="BQ598">
        <v>0</v>
      </c>
      <c r="BR598">
        <v>0</v>
      </c>
      <c r="BS598">
        <v>2.8809436743283698</v>
      </c>
      <c r="BT598">
        <v>3.63703759333633E-2</v>
      </c>
      <c r="BU598">
        <v>4599.49963419304</v>
      </c>
      <c r="BV598">
        <v>4599.8494834599796</v>
      </c>
      <c r="BW598">
        <v>0</v>
      </c>
      <c r="CA598" s="62"/>
      <c r="CF598" s="742">
        <v>0</v>
      </c>
      <c r="CG598" s="742">
        <v>0</v>
      </c>
      <c r="CH598" s="742">
        <v>0</v>
      </c>
      <c r="CI598" s="742">
        <v>0</v>
      </c>
      <c r="CJ598" s="742">
        <v>0</v>
      </c>
      <c r="CK598" s="742">
        <v>0</v>
      </c>
    </row>
    <row r="599" spans="2:89">
      <c r="B599" s="61" t="s">
        <v>135</v>
      </c>
      <c r="C599" t="s">
        <v>116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 s="755">
        <v>0</v>
      </c>
      <c r="BF599" s="755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A599" s="62"/>
      <c r="CF599" s="742">
        <v>0</v>
      </c>
      <c r="CG599" s="742">
        <v>0</v>
      </c>
      <c r="CH599" s="742">
        <v>0</v>
      </c>
      <c r="CI599" s="742">
        <v>0</v>
      </c>
      <c r="CJ599" s="742">
        <v>0</v>
      </c>
      <c r="CK599" s="742">
        <v>0</v>
      </c>
    </row>
    <row r="600" spans="2:89">
      <c r="B600" s="61" t="s">
        <v>165</v>
      </c>
      <c r="C600" t="s">
        <v>116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 s="755">
        <v>0</v>
      </c>
      <c r="BF600" s="755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A600" s="62"/>
      <c r="CF600" s="742">
        <v>0</v>
      </c>
      <c r="CG600" s="742">
        <v>0</v>
      </c>
      <c r="CH600" s="742">
        <v>0</v>
      </c>
      <c r="CI600" s="742">
        <v>0</v>
      </c>
      <c r="CJ600" s="742">
        <v>0</v>
      </c>
      <c r="CK600" s="742">
        <v>0</v>
      </c>
    </row>
    <row r="601" spans="2:89">
      <c r="B601" s="61" t="s">
        <v>136</v>
      </c>
      <c r="C601" t="s">
        <v>116</v>
      </c>
      <c r="D601">
        <v>0</v>
      </c>
      <c r="E601">
        <v>0</v>
      </c>
      <c r="F601" s="44">
        <v>1.57685454766629E-6</v>
      </c>
      <c r="G601" s="44">
        <v>1.57685454766629E-6</v>
      </c>
      <c r="H601">
        <v>105.437633779119</v>
      </c>
      <c r="I601">
        <v>105.437633779119</v>
      </c>
      <c r="J601">
        <v>105.437633779119</v>
      </c>
      <c r="K601">
        <v>105.437633779119</v>
      </c>
      <c r="L601">
        <v>105.437633779119</v>
      </c>
      <c r="M601">
        <v>105.437633779119</v>
      </c>
      <c r="N601">
        <v>107.46038906096901</v>
      </c>
      <c r="O601">
        <v>1.6774418151074701E-2</v>
      </c>
      <c r="P601">
        <v>0.53535195088110399</v>
      </c>
      <c r="Q601">
        <v>0.18969360326063101</v>
      </c>
      <c r="R601">
        <v>0.18016648845838401</v>
      </c>
      <c r="S601">
        <v>0.165491859162089</v>
      </c>
      <c r="T601">
        <v>106.925037110088</v>
      </c>
      <c r="U601">
        <v>106.925037110088</v>
      </c>
      <c r="V601">
        <v>1.51236671776329</v>
      </c>
      <c r="W601">
        <v>105.41267039232299</v>
      </c>
      <c r="X601">
        <v>105.41267039232299</v>
      </c>
      <c r="Y601">
        <v>100.32980738242</v>
      </c>
      <c r="Z601">
        <v>100.32980738242</v>
      </c>
      <c r="AA601">
        <v>100.32044116022099</v>
      </c>
      <c r="AB601">
        <v>100.319774401682</v>
      </c>
      <c r="AC601">
        <v>9.3662221991028007E-3</v>
      </c>
      <c r="AD601">
        <v>1.0032980738241999E-2</v>
      </c>
      <c r="AE601">
        <v>5.08995670651188</v>
      </c>
      <c r="AF601">
        <v>5.08995670651188</v>
      </c>
      <c r="AG601" s="44">
        <v>5.0899551217334498</v>
      </c>
      <c r="AH601">
        <v>5.0899551217334498</v>
      </c>
      <c r="AI601">
        <v>5.0899551217334604</v>
      </c>
      <c r="AJ601">
        <v>5.0899551217334604</v>
      </c>
      <c r="AL601" s="44">
        <v>1.89270761431111E-154</v>
      </c>
      <c r="AM601" s="44">
        <v>0</v>
      </c>
      <c r="AN601" s="44">
        <v>5.0899551225356099</v>
      </c>
      <c r="AO601" s="44">
        <v>5.0899551217334498</v>
      </c>
      <c r="AP601" s="44">
        <v>1.58477843987346E-6</v>
      </c>
      <c r="AQ601" s="44">
        <v>1.58477843987346E-6</v>
      </c>
      <c r="AR601" s="44">
        <v>1.7289394262070301E-16</v>
      </c>
      <c r="AS601" s="44">
        <v>1.7289394262070301E-16</v>
      </c>
      <c r="AT601" s="44">
        <v>1.7289394262070301E-16</v>
      </c>
      <c r="AU601" s="44">
        <v>1.7289394262070301E-16</v>
      </c>
      <c r="AV601" s="44">
        <v>1.7289394262070301E-16</v>
      </c>
      <c r="AW601" s="44">
        <v>1.64238376296261E-16</v>
      </c>
      <c r="AX601" s="44">
        <v>8.6555663244420599E-18</v>
      </c>
      <c r="AY601" s="44">
        <v>1.58477843970057E-6</v>
      </c>
      <c r="AZ601" s="44">
        <v>1.58477843970057E-6</v>
      </c>
      <c r="BA601" s="44">
        <v>1.58477843970057E-6</v>
      </c>
      <c r="BB601" s="44">
        <v>1.58477843970057E-6</v>
      </c>
      <c r="BC601" s="44">
        <v>1.58477843970057E-6</v>
      </c>
      <c r="BD601" s="44">
        <v>7.9238921985028303E-9</v>
      </c>
      <c r="BE601" s="756">
        <v>1.57685454750206E-6</v>
      </c>
      <c r="BF601" s="756">
        <v>7.4563013084437497E-22</v>
      </c>
      <c r="BH601" s="44">
        <v>7.4563013084437497E-22</v>
      </c>
      <c r="BI601" s="44">
        <v>7.4190198019015503E-22</v>
      </c>
      <c r="BJ601" s="44">
        <v>3.7281506542218799E-24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 s="44">
        <v>0</v>
      </c>
      <c r="BS601">
        <v>100.32980738242</v>
      </c>
      <c r="BT601" s="44">
        <v>8.6555663244420599E-18</v>
      </c>
      <c r="BU601">
        <v>5.0899551217334604</v>
      </c>
      <c r="BV601">
        <v>5.0899551217334498</v>
      </c>
      <c r="BW601">
        <v>0</v>
      </c>
      <c r="CA601" s="62"/>
      <c r="CF601" s="742">
        <v>0</v>
      </c>
      <c r="CG601" s="742">
        <v>0</v>
      </c>
      <c r="CH601" s="742">
        <v>0</v>
      </c>
      <c r="CI601" s="742">
        <v>0</v>
      </c>
      <c r="CJ601" s="742">
        <v>0</v>
      </c>
      <c r="CK601" s="742">
        <v>0</v>
      </c>
    </row>
    <row r="602" spans="2:89">
      <c r="B602" s="61" t="s">
        <v>797</v>
      </c>
      <c r="C602" t="s">
        <v>116</v>
      </c>
      <c r="D602">
        <v>0</v>
      </c>
      <c r="E602">
        <v>0</v>
      </c>
      <c r="F602" s="44">
        <v>1.97310131368761E-9</v>
      </c>
      <c r="G602" s="44">
        <v>1.97310131368761E-9</v>
      </c>
      <c r="H602" s="44">
        <v>1.64971544867239</v>
      </c>
      <c r="I602">
        <v>1.64971544867239</v>
      </c>
      <c r="J602">
        <v>1.64971544867239</v>
      </c>
      <c r="K602">
        <v>1.64971544867239</v>
      </c>
      <c r="L602">
        <v>1.64971544867239</v>
      </c>
      <c r="M602">
        <v>1.64971544867239</v>
      </c>
      <c r="N602">
        <v>1.74327047051881</v>
      </c>
      <c r="O602">
        <v>8.0274009618244203E-4</v>
      </c>
      <c r="P602">
        <v>2.45490162617443E-2</v>
      </c>
      <c r="Q602">
        <v>8.9221720815100894E-3</v>
      </c>
      <c r="R602">
        <v>8.2749189564299292E-3</v>
      </c>
      <c r="S602">
        <v>7.3519252238042603E-3</v>
      </c>
      <c r="T602">
        <v>1.7187214542570699</v>
      </c>
      <c r="U602">
        <v>1.7187214542570699</v>
      </c>
      <c r="V602">
        <v>6.9936778250425199E-2</v>
      </c>
      <c r="W602">
        <v>1.6487846760066001</v>
      </c>
      <c r="X602">
        <v>1.6487846760066001</v>
      </c>
      <c r="Y602">
        <v>1.63414186787467</v>
      </c>
      <c r="Z602">
        <v>1.63414186787467</v>
      </c>
      <c r="AA602">
        <v>1.6341348536357501</v>
      </c>
      <c r="AB602">
        <v>1.63414186787466</v>
      </c>
      <c r="AC602" s="44">
        <v>7.0142389086055699E-6</v>
      </c>
      <c r="AD602">
        <v>0</v>
      </c>
      <c r="AE602">
        <v>1.4607269161161099E-2</v>
      </c>
      <c r="AF602">
        <v>1.4607269161161099E-2</v>
      </c>
      <c r="AG602" s="44">
        <v>1.4607267178144701E-2</v>
      </c>
      <c r="AH602" s="44">
        <v>1.4607267178144701E-2</v>
      </c>
      <c r="AI602">
        <v>1.46072671781446E-2</v>
      </c>
      <c r="AJ602">
        <v>1.46072671781446E-2</v>
      </c>
      <c r="AK602" s="44"/>
      <c r="AL602" s="44">
        <v>7.7207144775544798E-215</v>
      </c>
      <c r="AM602" s="44">
        <v>0</v>
      </c>
      <c r="AN602" s="44">
        <v>1.4607267180446699E-2</v>
      </c>
      <c r="AO602" s="44">
        <v>1.46072671781446E-2</v>
      </c>
      <c r="AP602" s="44">
        <v>1.9830163956769202E-9</v>
      </c>
      <c r="AQ602" s="44">
        <v>1.9830163956769202E-9</v>
      </c>
      <c r="AR602" s="44">
        <v>2.42175225075027E-19</v>
      </c>
      <c r="AS602" s="44">
        <v>2.42175225075027E-19</v>
      </c>
      <c r="AT602" s="44">
        <v>2.42175225075027E-19</v>
      </c>
      <c r="AU602" s="44">
        <v>2.42175225075027E-19</v>
      </c>
      <c r="AV602" s="44">
        <v>2.42175225075027E-19</v>
      </c>
      <c r="AW602" s="44">
        <v>2.3005123917361198E-19</v>
      </c>
      <c r="AX602" s="44">
        <v>1.21239859014157E-20</v>
      </c>
      <c r="AY602" s="44">
        <v>1.9830163954347399E-9</v>
      </c>
      <c r="AZ602" s="44">
        <v>1.9830163954347399E-9</v>
      </c>
      <c r="BA602" s="44">
        <v>1.9830163954347399E-9</v>
      </c>
      <c r="BB602" s="44">
        <v>1.9830163954347399E-9</v>
      </c>
      <c r="BC602" s="44">
        <v>1.9830163954347399E-9</v>
      </c>
      <c r="BD602" s="44">
        <v>9.9150819771736902E-12</v>
      </c>
      <c r="BE602" s="756">
        <v>1.9731013134575699E-9</v>
      </c>
      <c r="BF602" s="756">
        <v>4.5524052936919399E-26</v>
      </c>
      <c r="BH602" s="44">
        <v>4.5524052936919399E-26</v>
      </c>
      <c r="BI602" s="44">
        <v>4.52964326722349E-26</v>
      </c>
      <c r="BJ602" s="44">
        <v>2.2762026468459699E-28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 s="44">
        <v>0</v>
      </c>
      <c r="BS602">
        <v>1.63414186787467</v>
      </c>
      <c r="BT602" s="44">
        <v>1.21239859014157E-20</v>
      </c>
      <c r="BU602">
        <v>1.46072671781446E-2</v>
      </c>
      <c r="BV602">
        <v>1.4607267178144701E-2</v>
      </c>
      <c r="BW602">
        <v>0</v>
      </c>
      <c r="CA602" s="62"/>
      <c r="CF602" s="742">
        <v>0</v>
      </c>
      <c r="CG602" s="742">
        <v>0</v>
      </c>
      <c r="CH602" s="742">
        <v>0</v>
      </c>
      <c r="CI602" s="742">
        <v>0</v>
      </c>
      <c r="CJ602" s="742">
        <v>0</v>
      </c>
      <c r="CK602" s="742">
        <v>0</v>
      </c>
    </row>
    <row r="603" spans="2:89">
      <c r="B603" s="61" t="s">
        <v>137</v>
      </c>
      <c r="C603" t="s">
        <v>116</v>
      </c>
      <c r="D603">
        <v>0</v>
      </c>
      <c r="E603">
        <v>0</v>
      </c>
      <c r="F603" s="44">
        <v>3.2215945000438401E-47</v>
      </c>
      <c r="G603" s="44">
        <v>3.2215945000438401E-47</v>
      </c>
      <c r="H603" s="44">
        <v>6.6860385766055401</v>
      </c>
      <c r="I603">
        <v>6.6860385766055401</v>
      </c>
      <c r="J603">
        <v>6.6860385766055401</v>
      </c>
      <c r="K603">
        <v>6.6860385766055401</v>
      </c>
      <c r="L603">
        <v>6.6860385766055401</v>
      </c>
      <c r="M603">
        <v>6.6860385766055401</v>
      </c>
      <c r="N603">
        <v>68.199296047358104</v>
      </c>
      <c r="O603">
        <v>2.61316906430981</v>
      </c>
      <c r="P603">
        <v>42.5912378918431</v>
      </c>
      <c r="Q603">
        <v>20.332893768396801</v>
      </c>
      <c r="R603">
        <v>13.464237339651101</v>
      </c>
      <c r="S603">
        <v>8.7941067837951596</v>
      </c>
      <c r="T603">
        <v>25.608058155515099</v>
      </c>
      <c r="U603">
        <v>25.608058155515099</v>
      </c>
      <c r="V603">
        <v>21.5404929638417</v>
      </c>
      <c r="W603">
        <v>4.06756519166471</v>
      </c>
      <c r="X603">
        <v>4.06756519166471</v>
      </c>
      <c r="Y603">
        <v>4.0674609181038104</v>
      </c>
      <c r="Z603" s="44">
        <v>4.0674609181038104</v>
      </c>
      <c r="AA603">
        <v>4.0674609176595302</v>
      </c>
      <c r="AB603">
        <v>4.0674609181038104</v>
      </c>
      <c r="AC603" s="44">
        <v>4.4428136737173699E-10</v>
      </c>
      <c r="AD603">
        <v>0</v>
      </c>
      <c r="AE603" s="44">
        <v>2.11266176368079E-5</v>
      </c>
      <c r="AF603" s="44">
        <v>2.11266176368079E-5</v>
      </c>
      <c r="AG603" s="44">
        <v>2.1126617636801801E-5</v>
      </c>
      <c r="AH603" s="44">
        <v>2.1126617636801801E-5</v>
      </c>
      <c r="AI603" s="44">
        <v>2.1126617636801699E-5</v>
      </c>
      <c r="AJ603" s="44">
        <v>2.1126617636801699E-5</v>
      </c>
      <c r="AK603" s="44"/>
      <c r="AL603" s="44">
        <v>0</v>
      </c>
      <c r="AM603" s="44">
        <v>0</v>
      </c>
      <c r="AN603" s="44">
        <v>2.1126617640131199E-5</v>
      </c>
      <c r="AO603" s="44">
        <v>2.1126617636801699E-5</v>
      </c>
      <c r="AP603" s="44">
        <v>6.0659428746788002E-18</v>
      </c>
      <c r="AQ603" s="44">
        <v>6.0659428746788002E-18</v>
      </c>
      <c r="AR603" s="44">
        <v>0</v>
      </c>
      <c r="AS603" s="44">
        <v>0</v>
      </c>
      <c r="AT603" s="44">
        <v>0</v>
      </c>
      <c r="AU603" s="44">
        <v>0</v>
      </c>
      <c r="AV603" s="44">
        <v>0</v>
      </c>
      <c r="AW603" s="44">
        <v>0</v>
      </c>
      <c r="AX603" s="44">
        <v>0</v>
      </c>
      <c r="AY603" s="44">
        <v>0</v>
      </c>
      <c r="AZ603" s="44">
        <v>0</v>
      </c>
      <c r="BA603" s="44">
        <v>0</v>
      </c>
      <c r="BB603">
        <v>0</v>
      </c>
      <c r="BC603">
        <v>0</v>
      </c>
      <c r="BD603">
        <v>0</v>
      </c>
      <c r="BE603" s="755">
        <v>0</v>
      </c>
      <c r="BF603" s="756">
        <v>3.23778341712949E-47</v>
      </c>
      <c r="BH603" s="44">
        <v>3.23778341712949E-47</v>
      </c>
      <c r="BI603" s="44">
        <v>3.22159450004386E-47</v>
      </c>
      <c r="BJ603" s="44">
        <v>1.6188917085647501E-49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 s="44">
        <v>0</v>
      </c>
      <c r="BS603">
        <v>4.0674609181038104</v>
      </c>
      <c r="BT603">
        <v>0</v>
      </c>
      <c r="BU603" s="44">
        <v>2.1126617636801699E-5</v>
      </c>
      <c r="BV603" s="44">
        <v>2.1126617636801801E-5</v>
      </c>
      <c r="BW603">
        <v>0</v>
      </c>
      <c r="CA603" s="62"/>
      <c r="CF603" s="742">
        <v>0</v>
      </c>
      <c r="CG603" s="742">
        <v>0</v>
      </c>
      <c r="CH603" s="742">
        <v>0</v>
      </c>
      <c r="CI603" s="742">
        <v>0</v>
      </c>
      <c r="CJ603" s="742">
        <v>0</v>
      </c>
      <c r="CK603" s="742">
        <v>0</v>
      </c>
    </row>
    <row r="604" spans="2:89">
      <c r="B604" s="61" t="s">
        <v>91</v>
      </c>
      <c r="C604" t="s">
        <v>116</v>
      </c>
      <c r="D604">
        <v>0</v>
      </c>
      <c r="E604">
        <v>0</v>
      </c>
      <c r="F604">
        <v>0</v>
      </c>
      <c r="G604" s="44">
        <v>0</v>
      </c>
      <c r="H604" s="4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 s="44">
        <v>0</v>
      </c>
      <c r="AA604">
        <v>0</v>
      </c>
      <c r="AB604" s="44">
        <v>0</v>
      </c>
      <c r="AC604" s="44">
        <v>0</v>
      </c>
      <c r="AD604" s="44">
        <v>0</v>
      </c>
      <c r="AE604" s="44">
        <v>0</v>
      </c>
      <c r="AF604" s="44">
        <v>0</v>
      </c>
      <c r="AG604">
        <v>0</v>
      </c>
      <c r="AH604" s="44">
        <v>0</v>
      </c>
      <c r="AI604" s="44">
        <v>0</v>
      </c>
      <c r="AJ604" s="44">
        <v>0</v>
      </c>
      <c r="AK604" s="44"/>
      <c r="AL604" s="4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 s="44">
        <v>0</v>
      </c>
      <c r="BB604">
        <v>0</v>
      </c>
      <c r="BC604">
        <v>0</v>
      </c>
      <c r="BD604">
        <v>0</v>
      </c>
      <c r="BE604" s="755">
        <v>0</v>
      </c>
      <c r="BF604" s="755">
        <v>0</v>
      </c>
      <c r="BH604">
        <v>0</v>
      </c>
      <c r="BI604">
        <v>0</v>
      </c>
      <c r="BJ604">
        <v>0</v>
      </c>
      <c r="BK604" s="44">
        <v>0</v>
      </c>
      <c r="BL604" s="44">
        <v>0</v>
      </c>
      <c r="BM604" s="44">
        <v>0</v>
      </c>
      <c r="BN604" s="44">
        <v>0</v>
      </c>
      <c r="BO604">
        <v>0</v>
      </c>
      <c r="BP604">
        <v>0</v>
      </c>
      <c r="BQ604">
        <v>0</v>
      </c>
      <c r="BR604" s="4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A604" s="62"/>
      <c r="CF604" s="742">
        <v>0</v>
      </c>
      <c r="CG604" s="742">
        <v>0</v>
      </c>
      <c r="CH604" s="742">
        <v>0</v>
      </c>
      <c r="CI604" s="742">
        <v>0</v>
      </c>
      <c r="CJ604" s="742">
        <v>0</v>
      </c>
      <c r="CK604" s="742">
        <v>0</v>
      </c>
    </row>
    <row r="605" spans="2:89">
      <c r="B605" s="61" t="s">
        <v>166</v>
      </c>
      <c r="C605" t="s">
        <v>116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 s="755">
        <v>0</v>
      </c>
      <c r="BF605" s="75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44061.982731337601</v>
      </c>
      <c r="BN605">
        <v>0</v>
      </c>
      <c r="BO605">
        <v>0</v>
      </c>
      <c r="BP605">
        <v>0</v>
      </c>
      <c r="BQ605">
        <v>61674.232600000003</v>
      </c>
      <c r="BR605">
        <v>61674.232600000003</v>
      </c>
      <c r="BS605">
        <v>0</v>
      </c>
      <c r="BT605">
        <v>0</v>
      </c>
      <c r="BU605">
        <v>0</v>
      </c>
      <c r="BV605">
        <v>0</v>
      </c>
      <c r="BW605">
        <v>61674.232600000003</v>
      </c>
      <c r="CA605" s="62"/>
      <c r="CF605" s="742">
        <v>0</v>
      </c>
      <c r="CG605" s="742">
        <v>0</v>
      </c>
      <c r="CH605" s="742">
        <v>0</v>
      </c>
      <c r="CI605" s="742">
        <v>0</v>
      </c>
      <c r="CJ605" s="742">
        <v>0</v>
      </c>
      <c r="CK605" s="742">
        <v>0</v>
      </c>
    </row>
    <row r="606" spans="2:89">
      <c r="B606" s="61" t="s">
        <v>167</v>
      </c>
      <c r="C606" t="s">
        <v>116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 s="755">
        <v>0</v>
      </c>
      <c r="BF606" s="755">
        <v>0</v>
      </c>
      <c r="BH606">
        <v>0</v>
      </c>
      <c r="BI606">
        <v>0</v>
      </c>
      <c r="BJ606">
        <v>0</v>
      </c>
      <c r="BK606">
        <v>0</v>
      </c>
      <c r="BL606">
        <v>44943.222385964204</v>
      </c>
      <c r="BM606">
        <v>881.23965462675403</v>
      </c>
      <c r="BN606">
        <v>42.076352615435901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A606" s="62"/>
      <c r="CF606" s="742">
        <v>17615.6833199373</v>
      </c>
      <c r="CG606" s="742">
        <v>462.19529405628202</v>
      </c>
      <c r="CH606" s="742">
        <v>17153.4275724484</v>
      </c>
      <c r="CI606" s="742">
        <v>2803.5753974863201</v>
      </c>
      <c r="CJ606" s="742">
        <v>1174.1050281364201</v>
      </c>
      <c r="CK606" s="742">
        <v>2091.6656634061801</v>
      </c>
    </row>
    <row r="607" spans="2:89">
      <c r="B607" s="61" t="s">
        <v>168</v>
      </c>
      <c r="C607" t="s">
        <v>116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 s="755">
        <v>0</v>
      </c>
      <c r="BF607" s="755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22030.991365668699</v>
      </c>
      <c r="BN607">
        <v>2103.8176307717699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A607" s="62"/>
      <c r="CF607" s="742">
        <v>371.92447224989797</v>
      </c>
      <c r="CG607" s="742">
        <v>371.91443910708301</v>
      </c>
      <c r="CH607" s="742">
        <v>1.00331324001308E-2</v>
      </c>
      <c r="CI607" s="742">
        <v>0</v>
      </c>
      <c r="CJ607" s="742">
        <v>5.0374762602064797E-2</v>
      </c>
      <c r="CK607" s="742">
        <v>371.86406434448099</v>
      </c>
    </row>
    <row r="608" spans="2:89">
      <c r="B608" s="61" t="s">
        <v>849</v>
      </c>
      <c r="C608" t="s">
        <v>116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 s="755">
        <v>0</v>
      </c>
      <c r="BF608" s="755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A608" s="62"/>
      <c r="CF608" s="753">
        <v>9788.3819479979393</v>
      </c>
      <c r="CG608" s="753">
        <v>9781.3448060311293</v>
      </c>
      <c r="CH608" s="753">
        <v>7.00691481754476</v>
      </c>
      <c r="CI608" s="753">
        <v>0</v>
      </c>
      <c r="CJ608" s="753">
        <v>8940.7691203863105</v>
      </c>
      <c r="CK608" s="753">
        <v>839.82483243029003</v>
      </c>
    </row>
    <row r="609" spans="2:89">
      <c r="B609" s="61" t="s">
        <v>850</v>
      </c>
      <c r="C609" t="s">
        <v>116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 s="755">
        <v>0</v>
      </c>
      <c r="BF609" s="755">
        <v>0</v>
      </c>
      <c r="BH609">
        <v>0</v>
      </c>
      <c r="BI609">
        <v>0</v>
      </c>
      <c r="BJ609">
        <v>0</v>
      </c>
      <c r="BK609">
        <v>0</v>
      </c>
      <c r="BL609">
        <v>179772.88954385699</v>
      </c>
      <c r="BM609">
        <v>179772.88954385699</v>
      </c>
      <c r="BN609">
        <v>8583.5759335488292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A609" s="62"/>
      <c r="CF609" s="742">
        <v>0</v>
      </c>
      <c r="CG609" s="742">
        <v>0</v>
      </c>
      <c r="CH609" s="742">
        <v>0</v>
      </c>
      <c r="CI609" s="742">
        <v>0</v>
      </c>
      <c r="CJ609" s="742">
        <v>0</v>
      </c>
      <c r="CK609" s="742">
        <v>0</v>
      </c>
    </row>
    <row r="610" spans="2:89">
      <c r="B610" s="61" t="s">
        <v>1089</v>
      </c>
      <c r="C610" t="s">
        <v>116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 s="755">
        <v>0</v>
      </c>
      <c r="BF610" s="755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37.103383799122398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A610" s="62"/>
      <c r="CF610" s="742">
        <v>4001.40438331833</v>
      </c>
      <c r="CG610" s="742">
        <v>4001.3492595021598</v>
      </c>
      <c r="CH610" s="742">
        <v>5.5123704114025902E-2</v>
      </c>
      <c r="CI610" s="742">
        <v>0</v>
      </c>
      <c r="CJ610" s="742">
        <v>0.30565322953798901</v>
      </c>
      <c r="CK610" s="742">
        <v>4001.0436062726299</v>
      </c>
    </row>
    <row r="611" spans="2:89">
      <c r="B611" s="61" t="s">
        <v>117</v>
      </c>
      <c r="BC611"/>
      <c r="BD611"/>
      <c r="BE611" s="755"/>
      <c r="BF611" s="755"/>
      <c r="CA611" s="62"/>
      <c r="CF611" s="742"/>
      <c r="CG611" s="742"/>
      <c r="CH611" s="742"/>
      <c r="CI611" s="742"/>
      <c r="CJ611" s="742"/>
      <c r="CK611" s="742"/>
    </row>
    <row r="612" spans="2:89">
      <c r="B612" s="61" t="s">
        <v>132</v>
      </c>
      <c r="D612">
        <v>0</v>
      </c>
      <c r="E612">
        <v>1</v>
      </c>
      <c r="F612">
        <v>0.69948806438376399</v>
      </c>
      <c r="G612">
        <v>0.69948806438376399</v>
      </c>
      <c r="H612">
        <v>0.72132940759938402</v>
      </c>
      <c r="I612">
        <v>0.72132940759938402</v>
      </c>
      <c r="J612">
        <v>0.72132940759938402</v>
      </c>
      <c r="K612">
        <v>0.72132940759938402</v>
      </c>
      <c r="L612">
        <v>0.72132940759938402</v>
      </c>
      <c r="M612">
        <v>0.72132940759938402</v>
      </c>
      <c r="N612">
        <v>0.72122607035112596</v>
      </c>
      <c r="O612">
        <v>1.54889411856367E-3</v>
      </c>
      <c r="P612">
        <v>3.2768275688847301E-3</v>
      </c>
      <c r="Q612">
        <v>2.31582958405306E-3</v>
      </c>
      <c r="R612">
        <v>3.4618962318812398E-3</v>
      </c>
      <c r="S612">
        <v>5.1734048514828802E-3</v>
      </c>
      <c r="T612">
        <v>0.72129574681616304</v>
      </c>
      <c r="U612">
        <v>0.72129574681616304</v>
      </c>
      <c r="V612">
        <v>6.9717356431694896E-3</v>
      </c>
      <c r="W612">
        <v>0.72133366611704297</v>
      </c>
      <c r="X612">
        <v>0.72133366611704297</v>
      </c>
      <c r="Y612">
        <v>4.8641069806406199E-3</v>
      </c>
      <c r="Z612">
        <v>4.8641069806406199E-3</v>
      </c>
      <c r="AA612" s="44">
        <v>6.4143940624424202E-10</v>
      </c>
      <c r="AB612" s="44">
        <v>1.5628475627563199E-10</v>
      </c>
      <c r="AC612">
        <v>5.98829090830982E-2</v>
      </c>
      <c r="AD612">
        <v>5.9878762097440301E-2</v>
      </c>
      <c r="AE612">
        <v>0.72150354215815105</v>
      </c>
      <c r="AF612">
        <v>0.72150354215815105</v>
      </c>
      <c r="AG612">
        <v>3.0501213574891099E-2</v>
      </c>
      <c r="AH612">
        <v>3.0501213574891099E-2</v>
      </c>
      <c r="AI612" s="44">
        <v>3.8126365843055502E-15</v>
      </c>
      <c r="AJ612" s="44">
        <v>3.8126365843055502E-15</v>
      </c>
      <c r="AL612" s="44">
        <v>4.0144125188821502E-15</v>
      </c>
      <c r="AM612" s="44">
        <v>4.0087035212056603E-15</v>
      </c>
      <c r="AN612" s="44">
        <v>2.7896475583692898E-156</v>
      </c>
      <c r="AO612" s="44">
        <v>4.00883795804136E-25</v>
      </c>
      <c r="AP612">
        <v>0.80998674606088095</v>
      </c>
      <c r="AQ612">
        <v>0.80998674606088095</v>
      </c>
      <c r="AR612">
        <v>0.96347622588540904</v>
      </c>
      <c r="AS612">
        <v>0.96347622588540904</v>
      </c>
      <c r="AT612">
        <v>0.96347622588540904</v>
      </c>
      <c r="AU612">
        <v>0.96347622588540904</v>
      </c>
      <c r="AV612">
        <v>0.96347622588540904</v>
      </c>
      <c r="AW612">
        <v>0.96347622588540904</v>
      </c>
      <c r="AX612">
        <v>0.96347622588540904</v>
      </c>
      <c r="AY612">
        <v>2.63067713717198E-2</v>
      </c>
      <c r="AZ612">
        <v>2.63067713717198E-2</v>
      </c>
      <c r="BA612">
        <v>2.63067713717198E-2</v>
      </c>
      <c r="BB612">
        <v>2.63067713717198E-2</v>
      </c>
      <c r="BC612" s="742">
        <v>2.63067713717198E-2</v>
      </c>
      <c r="BD612" s="742">
        <v>2.63067713717198E-2</v>
      </c>
      <c r="BE612">
        <v>2.63067713717198E-2</v>
      </c>
      <c r="BF612">
        <v>3.3692433709298399E-2</v>
      </c>
      <c r="BH612">
        <v>3.3692433709298399E-2</v>
      </c>
      <c r="BI612">
        <v>3.3692433709298399E-2</v>
      </c>
      <c r="BJ612">
        <v>3.3692433709298399E-2</v>
      </c>
      <c r="BK612">
        <v>0</v>
      </c>
      <c r="BL612">
        <v>0</v>
      </c>
      <c r="BM612">
        <v>0</v>
      </c>
      <c r="BN612">
        <v>0</v>
      </c>
      <c r="BO612">
        <v>1</v>
      </c>
      <c r="BP612">
        <v>0.68119702317436603</v>
      </c>
      <c r="BQ612">
        <v>0</v>
      </c>
      <c r="BR612">
        <v>0</v>
      </c>
      <c r="BS612">
        <v>4.8641069806406199E-3</v>
      </c>
      <c r="BT612">
        <v>0.96347622588540904</v>
      </c>
      <c r="BU612" s="44">
        <v>3.8126365843055502E-15</v>
      </c>
      <c r="BV612">
        <v>3.0501213574891099E-2</v>
      </c>
      <c r="BW612">
        <v>0</v>
      </c>
      <c r="CA612" s="62"/>
      <c r="CF612" s="742">
        <v>0</v>
      </c>
      <c r="CG612" s="742">
        <v>0</v>
      </c>
      <c r="CH612" s="742">
        <v>0</v>
      </c>
      <c r="CI612" s="742">
        <v>4.2740596491880399E-4</v>
      </c>
      <c r="CJ612" s="745">
        <v>4.1927052974527596E-9</v>
      </c>
      <c r="CK612" s="742">
        <v>1.6408444354917799E-4</v>
      </c>
    </row>
    <row r="613" spans="2:89">
      <c r="B613" s="61" t="s">
        <v>131</v>
      </c>
      <c r="D613">
        <v>1</v>
      </c>
      <c r="E613">
        <v>0</v>
      </c>
      <c r="F613">
        <v>0.29981083492488098</v>
      </c>
      <c r="G613">
        <v>0.29981083492488098</v>
      </c>
      <c r="H613">
        <v>0.26699661656884699</v>
      </c>
      <c r="I613">
        <v>0.26699661656884699</v>
      </c>
      <c r="J613">
        <v>0.26699661656884699</v>
      </c>
      <c r="K613">
        <v>0.26699661656884699</v>
      </c>
      <c r="L613">
        <v>0.26699661656884699</v>
      </c>
      <c r="M613">
        <v>0.26699661656884699</v>
      </c>
      <c r="N613">
        <v>0.26695995789751598</v>
      </c>
      <c r="O613">
        <v>3.7659455932309602E-3</v>
      </c>
      <c r="P613">
        <v>7.82387910145463E-3</v>
      </c>
      <c r="Q613">
        <v>5.59276291301749E-3</v>
      </c>
      <c r="R613">
        <v>8.2776584283190194E-3</v>
      </c>
      <c r="S613">
        <v>1.2190623771787401E-2</v>
      </c>
      <c r="T613">
        <v>0.26698510687025401</v>
      </c>
      <c r="U613">
        <v>0.26698510687025401</v>
      </c>
      <c r="V613">
        <v>2.09245759634205E-2</v>
      </c>
      <c r="W613">
        <v>0.26699816879055899</v>
      </c>
      <c r="X613" s="44">
        <v>0.26699816879055899</v>
      </c>
      <c r="Y613" s="44">
        <v>4.91196341412522E-2</v>
      </c>
      <c r="Z613">
        <v>4.91196341412522E-2</v>
      </c>
      <c r="AA613" s="44">
        <v>1.46654906856743E-7</v>
      </c>
      <c r="AB613" s="44">
        <v>8.0599327790308594E-8</v>
      </c>
      <c r="AC613">
        <v>0.60471919815678499</v>
      </c>
      <c r="AD613">
        <v>0.60467801210882699</v>
      </c>
      <c r="AE613" s="44">
        <v>0.26706104727833802</v>
      </c>
      <c r="AF613" s="44">
        <v>0.26706104727833802</v>
      </c>
      <c r="AG613" s="44">
        <v>0.87486319803346901</v>
      </c>
      <c r="AH613" s="44">
        <v>0.87486319803346901</v>
      </c>
      <c r="AI613" s="44">
        <v>9.2366785779633795E-4</v>
      </c>
      <c r="AJ613" s="44">
        <v>9.2366785779633795E-4</v>
      </c>
      <c r="AL613">
        <v>9.7255107578055901E-4</v>
      </c>
      <c r="AM613">
        <v>9.7116798627848704E-4</v>
      </c>
      <c r="AN613" s="44">
        <v>6.7910630400564603E-67</v>
      </c>
      <c r="AO613" s="44">
        <v>8.4353144573785899E-33</v>
      </c>
      <c r="AP613">
        <v>0.189231668977908</v>
      </c>
      <c r="AQ613">
        <v>0.189231668977908</v>
      </c>
      <c r="AR613">
        <v>3.6521592183650503E-2</v>
      </c>
      <c r="AS613">
        <v>3.6521592183650503E-2</v>
      </c>
      <c r="AT613">
        <v>3.6521592183650503E-2</v>
      </c>
      <c r="AU613">
        <v>3.6521592183650503E-2</v>
      </c>
      <c r="AV613">
        <v>3.6521592183650503E-2</v>
      </c>
      <c r="AW613">
        <v>3.6521592183650503E-2</v>
      </c>
      <c r="AX613">
        <v>3.6521592183650503E-2</v>
      </c>
      <c r="AY613">
        <v>0.96893220123048296</v>
      </c>
      <c r="AZ613">
        <v>0.96893220123048296</v>
      </c>
      <c r="BA613">
        <v>0.96893220123048296</v>
      </c>
      <c r="BB613">
        <v>0.96893220123048296</v>
      </c>
      <c r="BC613">
        <v>0.96893220123048296</v>
      </c>
      <c r="BD613">
        <v>0.96893220123048296</v>
      </c>
      <c r="BE613" s="755">
        <v>0.96893220123048296</v>
      </c>
      <c r="BF613" s="755">
        <v>0.96629999998574301</v>
      </c>
      <c r="BH613">
        <v>0.96629999998574301</v>
      </c>
      <c r="BI613">
        <v>0.96629999998574301</v>
      </c>
      <c r="BJ613">
        <v>0.96629999998574301</v>
      </c>
      <c r="BK613" s="44">
        <v>1</v>
      </c>
      <c r="BL613" s="44">
        <v>0</v>
      </c>
      <c r="BM613">
        <v>0</v>
      </c>
      <c r="BN613">
        <v>0</v>
      </c>
      <c r="BO613">
        <v>0</v>
      </c>
      <c r="BP613">
        <v>0.31878393152990497</v>
      </c>
      <c r="BQ613">
        <v>0</v>
      </c>
      <c r="BR613">
        <v>0</v>
      </c>
      <c r="BS613">
        <v>4.91196341412522E-2</v>
      </c>
      <c r="BT613">
        <v>3.6521592183650503E-2</v>
      </c>
      <c r="BU613">
        <v>9.2366785779633795E-4</v>
      </c>
      <c r="BV613">
        <v>0.87486319803346901</v>
      </c>
      <c r="BW613">
        <v>0</v>
      </c>
      <c r="CA613" s="62"/>
      <c r="CF613" s="742">
        <v>0</v>
      </c>
      <c r="CG613" s="742">
        <v>0</v>
      </c>
      <c r="CH613" s="742">
        <v>0</v>
      </c>
      <c r="CI613" s="742">
        <v>0</v>
      </c>
      <c r="CJ613" s="742">
        <v>0</v>
      </c>
      <c r="CK613" s="742">
        <v>0</v>
      </c>
    </row>
    <row r="614" spans="2:89">
      <c r="B614" s="61" t="s">
        <v>133</v>
      </c>
      <c r="D614">
        <v>0</v>
      </c>
      <c r="E614">
        <v>0</v>
      </c>
      <c r="F614" s="44">
        <v>9.8517113232135808E-6</v>
      </c>
      <c r="G614" s="44">
        <v>9.8517113232135808E-6</v>
      </c>
      <c r="H614">
        <v>5.2364445676998E-4</v>
      </c>
      <c r="I614">
        <v>5.2364445676998E-4</v>
      </c>
      <c r="J614">
        <v>5.2364445676998E-4</v>
      </c>
      <c r="K614">
        <v>5.2364445676998E-4</v>
      </c>
      <c r="L614">
        <v>5.2364445676998E-4</v>
      </c>
      <c r="M614">
        <v>5.2364445676998E-4</v>
      </c>
      <c r="N614">
        <v>5.2359586915252205E-4</v>
      </c>
      <c r="O614" s="44">
        <v>5.1392345334637702E-5</v>
      </c>
      <c r="P614">
        <v>1.04571138054707E-4</v>
      </c>
      <c r="Q614" s="44">
        <v>7.5732561370451195E-5</v>
      </c>
      <c r="R614">
        <v>1.1080918286848599E-4</v>
      </c>
      <c r="S614">
        <v>1.60450323763038E-4</v>
      </c>
      <c r="T614">
        <v>5.2363653520561698E-4</v>
      </c>
      <c r="U614">
        <v>5.2363653520561698E-4</v>
      </c>
      <c r="V614">
        <v>3.2767702028679E-4</v>
      </c>
      <c r="W614">
        <v>5.2364693755481699E-4</v>
      </c>
      <c r="X614" s="44">
        <v>5.2364693755481699E-4</v>
      </c>
      <c r="Y614" s="44">
        <v>2.1994543424723101E-3</v>
      </c>
      <c r="Z614">
        <v>2.1994543424723101E-3</v>
      </c>
      <c r="AA614" s="44">
        <v>6.67865167153943E-7</v>
      </c>
      <c r="AB614" s="44">
        <v>8.3954751761749598E-7</v>
      </c>
      <c r="AC614">
        <v>2.7070332901488098E-2</v>
      </c>
      <c r="AD614">
        <v>2.70665140199998E-2</v>
      </c>
      <c r="AE614">
        <v>5.2377008805561598E-4</v>
      </c>
      <c r="AF614">
        <v>5.2377008805561598E-4</v>
      </c>
      <c r="AG614">
        <v>4.5282483882958203E-3</v>
      </c>
      <c r="AH614">
        <v>4.5282483882958203E-3</v>
      </c>
      <c r="AI614" s="44">
        <v>4.7808539664743299E-2</v>
      </c>
      <c r="AJ614" s="44">
        <v>4.7808539664743299E-2</v>
      </c>
      <c r="AL614">
        <v>5.2778054305606403E-4</v>
      </c>
      <c r="AM614" s="44">
        <v>5.0267120157126299E-5</v>
      </c>
      <c r="AN614">
        <v>0.94119729952526998</v>
      </c>
      <c r="AO614">
        <v>0.97649616016012397</v>
      </c>
      <c r="AP614" s="44">
        <v>1.0994580206488699E-5</v>
      </c>
      <c r="AQ614" s="44">
        <v>1.0994580206488699E-5</v>
      </c>
      <c r="AR614" s="44">
        <v>5.04029741406084E-9</v>
      </c>
      <c r="AS614" s="44">
        <v>5.04029741406084E-9</v>
      </c>
      <c r="AT614" s="44">
        <v>5.04029741406084E-9</v>
      </c>
      <c r="AU614" s="44">
        <v>5.04029741406084E-9</v>
      </c>
      <c r="AV614" s="44">
        <v>5.04029741406084E-9</v>
      </c>
      <c r="AW614" s="44">
        <v>5.04029741406084E-9</v>
      </c>
      <c r="AX614" s="44">
        <v>5.04029741406084E-9</v>
      </c>
      <c r="AY614" s="44">
        <v>6.7104499780318706E-5</v>
      </c>
      <c r="AZ614" s="44">
        <v>6.7104499780318706E-5</v>
      </c>
      <c r="BA614" s="44">
        <v>6.7104499780318706E-5</v>
      </c>
      <c r="BB614" s="44">
        <v>6.7104499780318706E-5</v>
      </c>
      <c r="BC614" s="44">
        <v>6.7104499780318706E-5</v>
      </c>
      <c r="BD614" s="44">
        <v>6.7104499780318706E-5</v>
      </c>
      <c r="BE614" s="756">
        <v>6.7104499780318706E-5</v>
      </c>
      <c r="BF614" s="756">
        <v>4.4020262066323602E-9</v>
      </c>
      <c r="BH614" s="44">
        <v>4.4020262066323602E-9</v>
      </c>
      <c r="BI614" s="44">
        <v>4.4020262066323602E-9</v>
      </c>
      <c r="BJ614" s="44">
        <v>4.4020262066323602E-9</v>
      </c>
      <c r="BK614">
        <v>0</v>
      </c>
      <c r="BL614">
        <v>0</v>
      </c>
      <c r="BM614">
        <v>0</v>
      </c>
      <c r="BN614">
        <v>0</v>
      </c>
      <c r="BO614">
        <v>0</v>
      </c>
      <c r="BP614" s="44">
        <v>4.3994955577364497E-8</v>
      </c>
      <c r="BQ614">
        <v>0</v>
      </c>
      <c r="BR614">
        <v>0</v>
      </c>
      <c r="BS614">
        <v>2.1994543424723101E-3</v>
      </c>
      <c r="BT614" s="44">
        <v>5.04029741406084E-9</v>
      </c>
      <c r="BU614">
        <v>4.7808539664743299E-2</v>
      </c>
      <c r="BV614">
        <v>4.5282483882958203E-3</v>
      </c>
      <c r="BW614">
        <v>0</v>
      </c>
      <c r="CA614" s="62"/>
      <c r="CF614" s="742">
        <v>0</v>
      </c>
      <c r="CG614" s="742">
        <v>0</v>
      </c>
      <c r="CH614" s="742">
        <v>0</v>
      </c>
      <c r="CI614" s="742">
        <v>0</v>
      </c>
      <c r="CJ614" s="742">
        <v>0</v>
      </c>
      <c r="CK614" s="742">
        <v>0</v>
      </c>
    </row>
    <row r="615" spans="2:89">
      <c r="B615" s="61" t="s">
        <v>134</v>
      </c>
      <c r="D615">
        <v>0</v>
      </c>
      <c r="E615">
        <v>0</v>
      </c>
      <c r="F615">
        <v>6.9124897646966196E-4</v>
      </c>
      <c r="G615" s="44">
        <v>6.9124897646966196E-4</v>
      </c>
      <c r="H615" s="44">
        <v>1.08976985698428E-2</v>
      </c>
      <c r="I615">
        <v>1.08976985698428E-2</v>
      </c>
      <c r="J615">
        <v>1.08976985698428E-2</v>
      </c>
      <c r="K615">
        <v>1.08976985698428E-2</v>
      </c>
      <c r="L615">
        <v>1.08976985698428E-2</v>
      </c>
      <c r="M615">
        <v>1.08976985698428E-2</v>
      </c>
      <c r="N615">
        <v>1.08964803692985E-2</v>
      </c>
      <c r="O615">
        <v>7.1532755559290196E-4</v>
      </c>
      <c r="P615">
        <v>1.46497189320637E-3</v>
      </c>
      <c r="Q615">
        <v>1.0566698789038901E-3</v>
      </c>
      <c r="R615">
        <v>1.55162996868078E-3</v>
      </c>
      <c r="S615">
        <v>2.2586330795345698E-3</v>
      </c>
      <c r="T615">
        <v>1.08973956905099E-2</v>
      </c>
      <c r="U615">
        <v>1.08973956905099E-2</v>
      </c>
      <c r="V615">
        <v>4.4771750019320204E-3</v>
      </c>
      <c r="W615">
        <v>1.0897736502629001E-2</v>
      </c>
      <c r="X615" s="44">
        <v>1.0897736502629001E-2</v>
      </c>
      <c r="Y615" s="44">
        <v>2.4965790902638899E-2</v>
      </c>
      <c r="Z615">
        <v>2.4965790902638899E-2</v>
      </c>
      <c r="AA615" s="44">
        <v>2.73067444119531E-6</v>
      </c>
      <c r="AB615" s="44">
        <v>2.7173134993830899E-6</v>
      </c>
      <c r="AC615">
        <v>0.307327559907979</v>
      </c>
      <c r="AD615">
        <v>0.30730640013538701</v>
      </c>
      <c r="AE615">
        <v>1.0900302171478001E-2</v>
      </c>
      <c r="AF615">
        <v>1.0900302171478001E-2</v>
      </c>
      <c r="AG615" s="44">
        <v>9.0007456174815204E-2</v>
      </c>
      <c r="AH615" s="44">
        <v>9.0007456174815204E-2</v>
      </c>
      <c r="AI615">
        <v>0.95021323367875299</v>
      </c>
      <c r="AJ615">
        <v>0.95021323367875299</v>
      </c>
      <c r="AK615" s="44"/>
      <c r="AL615" s="44">
        <v>0.998499668381159</v>
      </c>
      <c r="AM615" s="44">
        <v>0.99897856489355996</v>
      </c>
      <c r="AN615" s="44">
        <v>3.7821833493253097E-2</v>
      </c>
      <c r="AO615" s="44">
        <v>1.94276668753061E-3</v>
      </c>
      <c r="AP615" s="44">
        <v>7.7059037702851098E-4</v>
      </c>
      <c r="AQ615" s="44">
        <v>7.7059037702851098E-4</v>
      </c>
      <c r="AR615" s="44">
        <v>2.1768906434131102E-6</v>
      </c>
      <c r="AS615" s="44">
        <v>2.1768906434131102E-6</v>
      </c>
      <c r="AT615" s="44">
        <v>2.1768906434131102E-6</v>
      </c>
      <c r="AU615" s="44">
        <v>2.1768906434131102E-6</v>
      </c>
      <c r="AV615" s="44">
        <v>2.1768906434131102E-6</v>
      </c>
      <c r="AW615" s="44">
        <v>2.1768906434131102E-6</v>
      </c>
      <c r="AX615" s="44">
        <v>2.1768906434131102E-6</v>
      </c>
      <c r="AY615">
        <v>4.6939228737410202E-3</v>
      </c>
      <c r="AZ615">
        <v>4.6939228737410202E-3</v>
      </c>
      <c r="BA615" s="44">
        <v>4.6939228737410202E-3</v>
      </c>
      <c r="BB615">
        <v>4.6939228737410202E-3</v>
      </c>
      <c r="BC615">
        <v>4.6939228737410202E-3</v>
      </c>
      <c r="BD615">
        <v>4.6939228737410202E-3</v>
      </c>
      <c r="BE615" s="755">
        <v>4.6939228737410202E-3</v>
      </c>
      <c r="BF615" s="756">
        <v>7.5619029321819202E-6</v>
      </c>
      <c r="BH615" s="44">
        <v>7.5619029321819202E-6</v>
      </c>
      <c r="BI615" s="44">
        <v>7.5619029321819202E-6</v>
      </c>
      <c r="BJ615" s="44">
        <v>7.5619029321819202E-6</v>
      </c>
      <c r="BK615">
        <v>0</v>
      </c>
      <c r="BL615">
        <v>0</v>
      </c>
      <c r="BM615">
        <v>0</v>
      </c>
      <c r="BN615">
        <v>0</v>
      </c>
      <c r="BO615">
        <v>0</v>
      </c>
      <c r="BP615" s="44">
        <v>1.9001300773753099E-5</v>
      </c>
      <c r="BQ615">
        <v>0</v>
      </c>
      <c r="BR615" s="44">
        <v>0</v>
      </c>
      <c r="BS615">
        <v>2.4965790902638899E-2</v>
      </c>
      <c r="BT615" s="44">
        <v>2.1768906434131102E-6</v>
      </c>
      <c r="BU615">
        <v>0.95021323367875299</v>
      </c>
      <c r="BV615">
        <v>9.0007456174815204E-2</v>
      </c>
      <c r="BW615">
        <v>0</v>
      </c>
      <c r="CA615" s="62"/>
      <c r="CF615" s="742">
        <v>0</v>
      </c>
      <c r="CG615" s="742">
        <v>0</v>
      </c>
      <c r="CH615" s="742">
        <v>0</v>
      </c>
      <c r="CI615" s="742">
        <v>0</v>
      </c>
      <c r="CJ615" s="742">
        <v>0</v>
      </c>
      <c r="CK615" s="742">
        <v>0</v>
      </c>
    </row>
    <row r="616" spans="2:89">
      <c r="B616" s="61" t="s">
        <v>135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 s="44">
        <v>0</v>
      </c>
      <c r="Y616" s="44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L616">
        <v>0</v>
      </c>
      <c r="AM616" s="44">
        <v>0</v>
      </c>
      <c r="AN616" s="44">
        <v>0</v>
      </c>
      <c r="AO616" s="44">
        <v>0</v>
      </c>
      <c r="AP616" s="44">
        <v>0</v>
      </c>
      <c r="AQ616" s="44">
        <v>0</v>
      </c>
      <c r="AR616" s="44">
        <v>0</v>
      </c>
      <c r="AS616" s="44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 s="755">
        <v>0</v>
      </c>
      <c r="BF616" s="755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A616" s="62"/>
      <c r="CF616" s="742">
        <v>0</v>
      </c>
      <c r="CG616" s="742">
        <v>0</v>
      </c>
      <c r="CH616" s="742">
        <v>0</v>
      </c>
      <c r="CI616" s="742">
        <v>0</v>
      </c>
      <c r="CJ616" s="742">
        <v>0</v>
      </c>
      <c r="CK616" s="742">
        <v>0</v>
      </c>
    </row>
    <row r="617" spans="2:89">
      <c r="B617" s="61" t="s">
        <v>165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 s="755">
        <v>0</v>
      </c>
      <c r="BF617" s="755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A617" s="62"/>
      <c r="CF617" s="742">
        <v>0</v>
      </c>
      <c r="CG617" s="742">
        <v>0</v>
      </c>
      <c r="CH617" s="742">
        <v>0</v>
      </c>
      <c r="CI617" s="742">
        <v>0</v>
      </c>
      <c r="CJ617" s="742">
        <v>0</v>
      </c>
      <c r="CK617" s="742">
        <v>0</v>
      </c>
    </row>
    <row r="618" spans="2:89">
      <c r="B618" s="61" t="s">
        <v>136</v>
      </c>
      <c r="D618">
        <v>0</v>
      </c>
      <c r="E618">
        <v>0</v>
      </c>
      <c r="F618" s="44">
        <v>3.55792497438595E-12</v>
      </c>
      <c r="G618" s="44">
        <v>3.55792497438595E-12</v>
      </c>
      <c r="H618" s="44">
        <v>2.3412333678926399E-4</v>
      </c>
      <c r="I618">
        <v>2.3412333678926399E-4</v>
      </c>
      <c r="J618">
        <v>2.3412333678926399E-4</v>
      </c>
      <c r="K618">
        <v>2.3412333678926399E-4</v>
      </c>
      <c r="L618">
        <v>2.3412333678926399E-4</v>
      </c>
      <c r="M618">
        <v>2.3412333678926399E-4</v>
      </c>
      <c r="N618">
        <v>2.3859898460141599E-4</v>
      </c>
      <c r="O618">
        <v>6.3375187557676103E-3</v>
      </c>
      <c r="P618" s="44">
        <v>1.2249245835956201E-2</v>
      </c>
      <c r="Q618">
        <v>9.1556143961771808E-3</v>
      </c>
      <c r="R618">
        <v>1.3019562064564101E-2</v>
      </c>
      <c r="S618">
        <v>1.8090644521720201E-2</v>
      </c>
      <c r="T618">
        <v>2.3743335983918601E-4</v>
      </c>
      <c r="U618">
        <v>2.3743335983918601E-4</v>
      </c>
      <c r="V618">
        <v>6.3267026062300794E-2</v>
      </c>
      <c r="W618">
        <v>2.3408748590429299E-4</v>
      </c>
      <c r="X618">
        <v>2.3408748590429299E-4</v>
      </c>
      <c r="Y618">
        <v>0.86944184807621805</v>
      </c>
      <c r="Z618">
        <v>0.86944184807621805</v>
      </c>
      <c r="AA618">
        <v>0.94621918559435303</v>
      </c>
      <c r="AB618">
        <v>0.946218697944609</v>
      </c>
      <c r="AC618">
        <v>9.9925157706959203E-4</v>
      </c>
      <c r="AD618">
        <v>1.07031163834541E-3</v>
      </c>
      <c r="AE618" s="44">
        <v>1.1305811386380501E-5</v>
      </c>
      <c r="AF618" s="44">
        <v>1.1305811386380501E-5</v>
      </c>
      <c r="AG618" s="44">
        <v>9.95975877468481E-5</v>
      </c>
      <c r="AH618" s="44">
        <v>9.95975877468481E-5</v>
      </c>
      <c r="AI618">
        <v>1.0515367105471301E-3</v>
      </c>
      <c r="AJ618">
        <v>1.0515367105471301E-3</v>
      </c>
      <c r="AK618" s="44"/>
      <c r="AL618" s="44">
        <v>4.1170922927312101E-158</v>
      </c>
      <c r="AM618" s="44">
        <v>0</v>
      </c>
      <c r="AN618" s="44">
        <v>2.09207413348994E-2</v>
      </c>
      <c r="AO618" s="44">
        <v>2.1499284787487399E-2</v>
      </c>
      <c r="AP618" s="44">
        <v>3.9708615936402098E-12</v>
      </c>
      <c r="AQ618" s="44">
        <v>3.9708615936402098E-12</v>
      </c>
      <c r="AR618" s="44">
        <v>5.1806506976011704E-22</v>
      </c>
      <c r="AS618" s="44">
        <v>5.1806506976011704E-22</v>
      </c>
      <c r="AT618" s="44">
        <v>5.1806506976011704E-22</v>
      </c>
      <c r="AU618" s="44">
        <v>5.1806506976011704E-22</v>
      </c>
      <c r="AV618" s="44">
        <v>5.1806506976011704E-22</v>
      </c>
      <c r="AW618" s="44">
        <v>5.1806506976011704E-22</v>
      </c>
      <c r="AX618" s="44">
        <v>5.1806506976011704E-22</v>
      </c>
      <c r="AY618" s="44">
        <v>2.4245115700387901E-11</v>
      </c>
      <c r="AZ618" s="44">
        <v>2.4245115700387901E-11</v>
      </c>
      <c r="BA618" s="44">
        <v>2.4245115700387901E-11</v>
      </c>
      <c r="BB618" s="44">
        <v>2.4245115700387901E-11</v>
      </c>
      <c r="BC618" s="44">
        <v>2.4245115700387901E-11</v>
      </c>
      <c r="BD618" s="44">
        <v>2.4245115700387901E-11</v>
      </c>
      <c r="BE618" s="756">
        <v>2.4245115700387901E-11</v>
      </c>
      <c r="BF618" s="756">
        <v>1.6116605651826399E-26</v>
      </c>
      <c r="BH618" s="44">
        <v>1.6116605651826399E-26</v>
      </c>
      <c r="BI618" s="44">
        <v>1.6116605651826399E-26</v>
      </c>
      <c r="BJ618" s="44">
        <v>1.6116605651826399E-26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 s="44">
        <v>0</v>
      </c>
      <c r="BS618">
        <v>0.86944184807621805</v>
      </c>
      <c r="BT618" s="44">
        <v>5.1806506976011704E-22</v>
      </c>
      <c r="BU618">
        <v>1.0515367105471301E-3</v>
      </c>
      <c r="BV618" s="44">
        <v>9.95975877468481E-5</v>
      </c>
      <c r="BW618">
        <v>0</v>
      </c>
      <c r="CA618" s="62"/>
      <c r="CF618" s="742">
        <v>0</v>
      </c>
      <c r="CG618" s="742">
        <v>0</v>
      </c>
      <c r="CH618" s="742">
        <v>0</v>
      </c>
      <c r="CI618" s="742">
        <v>0</v>
      </c>
      <c r="CJ618" s="742">
        <v>0</v>
      </c>
      <c r="CK618" s="742">
        <v>0</v>
      </c>
    </row>
    <row r="619" spans="2:89">
      <c r="B619" s="61" t="s">
        <v>797</v>
      </c>
      <c r="D619">
        <v>0</v>
      </c>
      <c r="E619">
        <v>0</v>
      </c>
      <c r="F619" s="44">
        <v>4.4519936549331797E-15</v>
      </c>
      <c r="G619" s="44">
        <v>4.4519936549331797E-15</v>
      </c>
      <c r="H619" s="44">
        <v>3.6631786180359998E-6</v>
      </c>
      <c r="I619" s="44">
        <v>3.6631786180359998E-6</v>
      </c>
      <c r="J619" s="44">
        <v>3.6631786180359998E-6</v>
      </c>
      <c r="K619" s="44">
        <v>3.6631786180359998E-6</v>
      </c>
      <c r="L619" s="44">
        <v>3.6631786180359998E-6</v>
      </c>
      <c r="M619" s="44">
        <v>3.6631786180359998E-6</v>
      </c>
      <c r="N619" s="44">
        <v>3.8706593916706398E-6</v>
      </c>
      <c r="O619">
        <v>3.0328207927957199E-4</v>
      </c>
      <c r="P619">
        <v>5.6169952257776701E-4</v>
      </c>
      <c r="Q619">
        <v>4.3063111117356997E-4</v>
      </c>
      <c r="R619">
        <v>5.9797924605364502E-4</v>
      </c>
      <c r="S619">
        <v>8.0367134943988203E-4</v>
      </c>
      <c r="T619" s="44">
        <v>3.8165224959594399E-6</v>
      </c>
      <c r="U619" s="44">
        <v>3.8165224959594399E-6</v>
      </c>
      <c r="V619">
        <v>2.9256739918390199E-3</v>
      </c>
      <c r="W619" s="44">
        <v>3.6614181024676702E-6</v>
      </c>
      <c r="X619" s="44">
        <v>3.6614181024676702E-6</v>
      </c>
      <c r="Y619">
        <v>1.41612085450153E-2</v>
      </c>
      <c r="Z619">
        <v>1.41612085450153E-2</v>
      </c>
      <c r="AA619">
        <v>1.5413107562885E-2</v>
      </c>
      <c r="AB619" s="44">
        <v>1.54132682185458E-2</v>
      </c>
      <c r="AC619" s="44">
        <v>7.4832618128987097E-7</v>
      </c>
      <c r="AD619">
        <v>0</v>
      </c>
      <c r="AE619" s="44">
        <v>3.24456649689961E-8</v>
      </c>
      <c r="AF619" s="44">
        <v>3.24456649689961E-8</v>
      </c>
      <c r="AG619" s="44">
        <v>2.8582738741740599E-7</v>
      </c>
      <c r="AH619" s="44">
        <v>2.8582738741740599E-7</v>
      </c>
      <c r="AI619" s="44">
        <v>3.0177235970124199E-6</v>
      </c>
      <c r="AJ619" s="44">
        <v>3.0177235970124199E-6</v>
      </c>
      <c r="AK619" s="44"/>
      <c r="AL619" s="44">
        <v>1.6794402806630699E-218</v>
      </c>
      <c r="AM619" s="44">
        <v>0</v>
      </c>
      <c r="AN619" s="44">
        <v>6.0038811921716102E-5</v>
      </c>
      <c r="AO619" s="44">
        <v>6.1699128876188699E-5</v>
      </c>
      <c r="AP619" s="44">
        <v>4.9686968518962601E-15</v>
      </c>
      <c r="AQ619" s="44">
        <v>4.9686968518962601E-15</v>
      </c>
      <c r="AR619" s="44">
        <v>7.2566177259262103E-25</v>
      </c>
      <c r="AS619" s="44">
        <v>7.2566177259262103E-25</v>
      </c>
      <c r="AT619" s="44">
        <v>7.2566177259262103E-25</v>
      </c>
      <c r="AU619" s="44">
        <v>7.2566177259262103E-25</v>
      </c>
      <c r="AV619" s="44">
        <v>7.2566177259262103E-25</v>
      </c>
      <c r="AW619" s="44">
        <v>7.2566177259262103E-25</v>
      </c>
      <c r="AX619" s="44">
        <v>7.2566177259262103E-25</v>
      </c>
      <c r="AY619" s="44">
        <v>3.0337655244833798E-14</v>
      </c>
      <c r="AZ619" s="44">
        <v>3.0337655244833798E-14</v>
      </c>
      <c r="BA619" s="44">
        <v>3.0337655244833798E-14</v>
      </c>
      <c r="BB619" s="44">
        <v>3.0337655244833798E-14</v>
      </c>
      <c r="BC619" s="44">
        <v>3.0337655244833798E-14</v>
      </c>
      <c r="BD619" s="44">
        <v>3.0337655244833798E-14</v>
      </c>
      <c r="BE619" s="756">
        <v>3.0337655244833798E-14</v>
      </c>
      <c r="BF619" s="756">
        <v>9.8399082669357993E-31</v>
      </c>
      <c r="BH619" s="44">
        <v>9.8399082669357993E-31</v>
      </c>
      <c r="BI619" s="44">
        <v>9.8399082669357906E-31</v>
      </c>
      <c r="BJ619" s="44">
        <v>9.8399082669357906E-31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 s="44">
        <v>0</v>
      </c>
      <c r="BS619">
        <v>1.41612085450153E-2</v>
      </c>
      <c r="BT619" s="44">
        <v>7.2566177259262103E-25</v>
      </c>
      <c r="BU619" s="44">
        <v>3.0177235970124199E-6</v>
      </c>
      <c r="BV619" s="44">
        <v>2.8582738741740599E-7</v>
      </c>
      <c r="BW619">
        <v>0</v>
      </c>
      <c r="CA619" s="62"/>
      <c r="CF619" s="742">
        <v>0</v>
      </c>
      <c r="CG619" s="742">
        <v>0</v>
      </c>
      <c r="CH619" s="742">
        <v>0</v>
      </c>
      <c r="CI619" s="742">
        <v>0</v>
      </c>
      <c r="CJ619" s="742">
        <v>0</v>
      </c>
      <c r="CK619" s="742">
        <v>0</v>
      </c>
    </row>
    <row r="620" spans="2:89">
      <c r="B620" s="61" t="s">
        <v>137</v>
      </c>
      <c r="D620">
        <v>0</v>
      </c>
      <c r="E620">
        <v>0</v>
      </c>
      <c r="F620" s="44">
        <v>7.2690227174181504E-53</v>
      </c>
      <c r="G620" s="44">
        <v>7.2690227174181504E-53</v>
      </c>
      <c r="H620" s="44">
        <v>1.4846289748268599E-5</v>
      </c>
      <c r="I620" s="44">
        <v>1.4846289748268599E-5</v>
      </c>
      <c r="J620" s="44">
        <v>1.4846289748268599E-5</v>
      </c>
      <c r="K620" s="44">
        <v>1.4846289748268599E-5</v>
      </c>
      <c r="L620" s="44">
        <v>1.4846289748268599E-5</v>
      </c>
      <c r="M620" s="44">
        <v>1.4846289748268599E-5</v>
      </c>
      <c r="N620" s="44">
        <v>1.51425868914347E-4</v>
      </c>
      <c r="O620" s="44">
        <v>0.98727763955223102</v>
      </c>
      <c r="P620">
        <v>0.97451880493986598</v>
      </c>
      <c r="Q620" s="44">
        <v>0.98137275955530401</v>
      </c>
      <c r="R620" s="44">
        <v>0.97298046487763301</v>
      </c>
      <c r="S620" s="44">
        <v>0.96132257210227201</v>
      </c>
      <c r="T620" s="44">
        <v>5.6864205532715199E-5</v>
      </c>
      <c r="U620" s="44">
        <v>5.6864205532715199E-5</v>
      </c>
      <c r="V620" s="44">
        <v>0.90110613631705105</v>
      </c>
      <c r="W620" s="44">
        <v>9.0327482068792004E-6</v>
      </c>
      <c r="X620" s="44">
        <v>9.0327482068792004E-6</v>
      </c>
      <c r="Y620">
        <v>3.5247957011762497E-2</v>
      </c>
      <c r="Z620" s="44">
        <v>3.5247957011762497E-2</v>
      </c>
      <c r="AA620">
        <v>3.8364161006807201E-2</v>
      </c>
      <c r="AB620" s="44">
        <v>3.8364396220215501E-2</v>
      </c>
      <c r="AC620" s="44">
        <v>4.7398924301771299E-11</v>
      </c>
      <c r="AD620" s="44">
        <v>0</v>
      </c>
      <c r="AE620" s="44">
        <v>4.6926441226572699E-11</v>
      </c>
      <c r="AF620" s="44">
        <v>4.6926441226572699E-11</v>
      </c>
      <c r="AG620" s="44">
        <v>4.1339463778196802E-10</v>
      </c>
      <c r="AH620" s="44">
        <v>4.1339463778196802E-10</v>
      </c>
      <c r="AI620" s="44">
        <v>4.3645598995426304E-9</v>
      </c>
      <c r="AJ620" s="44">
        <v>4.3645598995426304E-9</v>
      </c>
      <c r="AK620" s="44"/>
      <c r="AL620" s="44">
        <v>0</v>
      </c>
      <c r="AM620" s="44">
        <v>0</v>
      </c>
      <c r="AN620" s="44">
        <v>8.6834656159076301E-8</v>
      </c>
      <c r="AO620" s="44">
        <v>8.9235987018932402E-8</v>
      </c>
      <c r="AP620" s="44">
        <v>1.5198982384061699E-23</v>
      </c>
      <c r="AQ620" s="44">
        <v>1.5198982384061699E-23</v>
      </c>
      <c r="AR620" s="44">
        <v>0</v>
      </c>
      <c r="AS620" s="44">
        <v>0</v>
      </c>
      <c r="AT620" s="44">
        <v>0</v>
      </c>
      <c r="AU620" s="44">
        <v>0</v>
      </c>
      <c r="AV620" s="44">
        <v>0</v>
      </c>
      <c r="AW620" s="44">
        <v>0</v>
      </c>
      <c r="AX620" s="44">
        <v>0</v>
      </c>
      <c r="AY620" s="44">
        <v>0</v>
      </c>
      <c r="AZ620" s="44">
        <v>0</v>
      </c>
      <c r="BA620" s="44">
        <v>0</v>
      </c>
      <c r="BB620">
        <v>0</v>
      </c>
      <c r="BC620">
        <v>0</v>
      </c>
      <c r="BD620">
        <v>0</v>
      </c>
      <c r="BE620" s="755">
        <v>0</v>
      </c>
      <c r="BF620" s="756">
        <v>6.9983865138076404E-52</v>
      </c>
      <c r="BH620" s="44">
        <v>6.9983865138076404E-52</v>
      </c>
      <c r="BI620" s="44">
        <v>6.9983865138076404E-52</v>
      </c>
      <c r="BJ620" s="44">
        <v>6.9983865138076404E-52</v>
      </c>
      <c r="BK620" s="44">
        <v>0</v>
      </c>
      <c r="BL620" s="44">
        <v>0</v>
      </c>
      <c r="BM620" s="44">
        <v>0</v>
      </c>
      <c r="BN620" s="44">
        <v>0</v>
      </c>
      <c r="BO620">
        <v>0</v>
      </c>
      <c r="BP620">
        <v>0</v>
      </c>
      <c r="BQ620">
        <v>0</v>
      </c>
      <c r="BR620" s="44">
        <v>0</v>
      </c>
      <c r="BS620">
        <v>3.5247957011762497E-2</v>
      </c>
      <c r="BT620">
        <v>0</v>
      </c>
      <c r="BU620" s="44">
        <v>4.3645598995426304E-9</v>
      </c>
      <c r="BV620" s="44">
        <v>4.1339463778196802E-10</v>
      </c>
      <c r="BW620">
        <v>0</v>
      </c>
      <c r="CA620" s="62"/>
      <c r="CF620" s="742">
        <v>0</v>
      </c>
      <c r="CG620" s="742">
        <v>0</v>
      </c>
      <c r="CH620" s="742">
        <v>0</v>
      </c>
      <c r="CI620" s="742">
        <v>0</v>
      </c>
      <c r="CJ620" s="742">
        <v>0</v>
      </c>
      <c r="CK620" s="742">
        <v>0</v>
      </c>
    </row>
    <row r="621" spans="2:89">
      <c r="B621" s="61" t="s">
        <v>91</v>
      </c>
      <c r="D621">
        <v>0</v>
      </c>
      <c r="E621">
        <v>0</v>
      </c>
      <c r="F621">
        <v>0</v>
      </c>
      <c r="G621" s="44">
        <v>0</v>
      </c>
      <c r="H621" s="44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 s="44">
        <v>0</v>
      </c>
      <c r="S621" s="44">
        <v>0</v>
      </c>
      <c r="T621">
        <v>0</v>
      </c>
      <c r="U621" s="44">
        <v>0</v>
      </c>
      <c r="V621" s="44">
        <v>0</v>
      </c>
      <c r="W621">
        <v>0</v>
      </c>
      <c r="X621">
        <v>0</v>
      </c>
      <c r="Y621">
        <v>0</v>
      </c>
      <c r="Z621" s="44">
        <v>0</v>
      </c>
      <c r="AA621">
        <v>0</v>
      </c>
      <c r="AB621" s="44">
        <v>0</v>
      </c>
      <c r="AC621" s="44">
        <v>0</v>
      </c>
      <c r="AD621" s="44">
        <v>0</v>
      </c>
      <c r="AE621" s="44">
        <v>0</v>
      </c>
      <c r="AF621" s="44">
        <v>0</v>
      </c>
      <c r="AG621">
        <v>0</v>
      </c>
      <c r="AH621" s="44">
        <v>0</v>
      </c>
      <c r="AI621" s="44">
        <v>0</v>
      </c>
      <c r="AJ621" s="44">
        <v>0</v>
      </c>
      <c r="AK621" s="44"/>
      <c r="AL621" s="44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 s="44">
        <v>0</v>
      </c>
      <c r="BB621">
        <v>0</v>
      </c>
      <c r="BC621">
        <v>0</v>
      </c>
      <c r="BD621">
        <v>0</v>
      </c>
      <c r="BE621" s="755">
        <v>0</v>
      </c>
      <c r="BF621" s="755">
        <v>0</v>
      </c>
      <c r="BH621">
        <v>0</v>
      </c>
      <c r="BI621">
        <v>0</v>
      </c>
      <c r="BJ621">
        <v>0</v>
      </c>
      <c r="BK621" s="44">
        <v>0</v>
      </c>
      <c r="BL621" s="44">
        <v>0</v>
      </c>
      <c r="BM621" s="44">
        <v>0</v>
      </c>
      <c r="BN621" s="44">
        <v>0</v>
      </c>
      <c r="BO621">
        <v>0</v>
      </c>
      <c r="BP621">
        <v>0</v>
      </c>
      <c r="BQ621">
        <v>0</v>
      </c>
      <c r="BR621" s="44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A621" s="62"/>
      <c r="CF621" s="742">
        <v>0</v>
      </c>
      <c r="CG621" s="742">
        <v>0</v>
      </c>
      <c r="CH621" s="742">
        <v>0</v>
      </c>
      <c r="CI621" s="742">
        <v>0</v>
      </c>
      <c r="CJ621" s="742">
        <v>0</v>
      </c>
      <c r="CK621" s="742">
        <v>0</v>
      </c>
    </row>
    <row r="622" spans="2:89">
      <c r="B622" s="61" t="s">
        <v>166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 s="755">
        <v>0</v>
      </c>
      <c r="BF622" s="755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0.17857142857142899</v>
      </c>
      <c r="BN622">
        <v>0</v>
      </c>
      <c r="BO622">
        <v>0</v>
      </c>
      <c r="BP622">
        <v>0</v>
      </c>
      <c r="BQ622">
        <v>1</v>
      </c>
      <c r="BR622">
        <v>1</v>
      </c>
      <c r="BS622">
        <v>0</v>
      </c>
      <c r="BT622">
        <v>0</v>
      </c>
      <c r="BU622">
        <v>0</v>
      </c>
      <c r="BV622">
        <v>0</v>
      </c>
      <c r="BW622">
        <v>1</v>
      </c>
      <c r="CA622" s="62"/>
      <c r="CF622" s="742">
        <v>0</v>
      </c>
      <c r="CG622" s="742">
        <v>0</v>
      </c>
      <c r="CH622" s="742">
        <v>0</v>
      </c>
      <c r="CI622" s="742">
        <v>0</v>
      </c>
      <c r="CJ622" s="742">
        <v>0</v>
      </c>
      <c r="CK622" s="742">
        <v>0</v>
      </c>
    </row>
    <row r="623" spans="2:89">
      <c r="B623" s="61" t="s">
        <v>167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 s="755">
        <v>0</v>
      </c>
      <c r="BF623" s="755">
        <v>0</v>
      </c>
      <c r="BH623">
        <v>0</v>
      </c>
      <c r="BI623">
        <v>0</v>
      </c>
      <c r="BJ623">
        <v>0</v>
      </c>
      <c r="BK623">
        <v>0</v>
      </c>
      <c r="BL623">
        <v>0.2</v>
      </c>
      <c r="BM623">
        <v>3.57142857142859E-3</v>
      </c>
      <c r="BN623">
        <v>3.9080542564608597E-3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A623" s="62"/>
      <c r="CF623" s="742">
        <v>0.55434637753723903</v>
      </c>
      <c r="CG623" s="742">
        <v>3.1620818095505598E-2</v>
      </c>
      <c r="CH623" s="742">
        <v>0.99958436522804806</v>
      </c>
      <c r="CI623" s="742">
        <v>0.99957259403508103</v>
      </c>
      <c r="CJ623" s="742">
        <v>0.116072991194974</v>
      </c>
      <c r="CK623" s="742">
        <v>0.28631002937577898</v>
      </c>
    </row>
    <row r="624" spans="2:89">
      <c r="B624" s="61" t="s">
        <v>168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 s="755">
        <v>0</v>
      </c>
      <c r="BF624" s="755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8.9285714285714302E-2</v>
      </c>
      <c r="BN624">
        <v>0.195402712823041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A624" s="62"/>
      <c r="CF624" s="742">
        <v>1.1704058262436701E-2</v>
      </c>
      <c r="CG624" s="742">
        <v>2.5444306719109501E-2</v>
      </c>
      <c r="CH624" s="745">
        <v>5.8466229207403597E-7</v>
      </c>
      <c r="CI624" s="742">
        <v>0</v>
      </c>
      <c r="CJ624" s="745">
        <v>4.9800905675697103E-6</v>
      </c>
      <c r="CK624" s="742">
        <v>5.0901256854255499E-2</v>
      </c>
    </row>
    <row r="625" spans="2:89">
      <c r="B625" s="61" t="s">
        <v>849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 s="755">
        <v>0</v>
      </c>
      <c r="BF625" s="75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A625" s="62"/>
      <c r="CF625" s="753">
        <v>0.30802972421071401</v>
      </c>
      <c r="CG625" s="753">
        <v>0.66918492857537804</v>
      </c>
      <c r="CH625" s="753">
        <v>4.08315042024149E-4</v>
      </c>
      <c r="CI625" s="753">
        <v>0</v>
      </c>
      <c r="CJ625" s="753">
        <v>0.88389180739145301</v>
      </c>
      <c r="CK625" s="753">
        <v>0.114956360689147</v>
      </c>
    </row>
    <row r="626" spans="2:89">
      <c r="B626" s="61" t="s">
        <v>850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 s="755">
        <v>0</v>
      </c>
      <c r="BF626" s="755">
        <v>0</v>
      </c>
      <c r="BH626">
        <v>0</v>
      </c>
      <c r="BI626">
        <v>0</v>
      </c>
      <c r="BJ626">
        <v>0</v>
      </c>
      <c r="BK626">
        <v>0</v>
      </c>
      <c r="BL626">
        <v>0.8</v>
      </c>
      <c r="BM626">
        <v>0.72857142857142898</v>
      </c>
      <c r="BN626">
        <v>0.79724306831800695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A626" s="62"/>
      <c r="CF626" s="742">
        <v>0</v>
      </c>
      <c r="CG626" s="742">
        <v>0</v>
      </c>
      <c r="CH626" s="742">
        <v>0</v>
      </c>
      <c r="CI626" s="742">
        <v>0</v>
      </c>
      <c r="CJ626" s="742">
        <v>0</v>
      </c>
      <c r="CK626" s="742">
        <v>0</v>
      </c>
    </row>
    <row r="627" spans="2:89">
      <c r="B627" s="61" t="s">
        <v>1089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 s="755">
        <v>0</v>
      </c>
      <c r="BF627" s="756">
        <v>0</v>
      </c>
      <c r="BG627" s="44"/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3.4461646024913899E-3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A627" s="62"/>
      <c r="CF627" s="742">
        <v>0.12591983998961001</v>
      </c>
      <c r="CG627" s="742">
        <v>0.27374994661000701</v>
      </c>
      <c r="CH627" s="745">
        <v>3.2122322231586701E-6</v>
      </c>
      <c r="CI627" s="742">
        <v>0</v>
      </c>
      <c r="CJ627" s="745">
        <v>3.02171302998253E-5</v>
      </c>
      <c r="CK627" s="742">
        <v>0.54766826863727003</v>
      </c>
    </row>
    <row r="628" spans="2:89">
      <c r="B628" s="61" t="s">
        <v>118</v>
      </c>
      <c r="C628" t="s">
        <v>119</v>
      </c>
      <c r="D628">
        <v>211552.667568</v>
      </c>
      <c r="E628" s="44">
        <v>7.2571679999999894E-8</v>
      </c>
      <c r="F628" s="44">
        <v>2765344.2738621598</v>
      </c>
      <c r="G628">
        <v>2765344.2738621598</v>
      </c>
      <c r="H628">
        <v>2737895.1431446201</v>
      </c>
      <c r="I628">
        <v>2737895.1431446201</v>
      </c>
      <c r="J628">
        <v>2737895.1431446201</v>
      </c>
      <c r="K628">
        <v>2737895.1431446201</v>
      </c>
      <c r="L628">
        <v>2737895.1431446201</v>
      </c>
      <c r="M628">
        <v>2737895.1431446201</v>
      </c>
      <c r="N628">
        <v>2745752.80134136</v>
      </c>
      <c r="O628">
        <v>336.54873580391302</v>
      </c>
      <c r="P628">
        <v>5510.8571300470003</v>
      </c>
      <c r="Q628">
        <v>2624.39536660774</v>
      </c>
      <c r="R628">
        <v>1743.1773082790301</v>
      </c>
      <c r="S628">
        <v>1143.28445516022</v>
      </c>
      <c r="T628">
        <v>2740241.94421132</v>
      </c>
      <c r="U628">
        <v>2740241.94421132</v>
      </c>
      <c r="V628">
        <v>2897.0996751187399</v>
      </c>
      <c r="W628">
        <v>2737344.8445362002</v>
      </c>
      <c r="X628">
        <v>2737344.8445362002</v>
      </c>
      <c r="Y628">
        <v>8689.5560742031394</v>
      </c>
      <c r="Z628">
        <v>8689.5560742031394</v>
      </c>
      <c r="AA628">
        <v>8508.3161445659498</v>
      </c>
      <c r="AB628">
        <v>8508.2651030512407</v>
      </c>
      <c r="AC628">
        <v>181.23992963716501</v>
      </c>
      <c r="AD628">
        <v>181.29097115190299</v>
      </c>
      <c r="AE628">
        <v>2728836.3323493199</v>
      </c>
      <c r="AF628">
        <v>2728836.3323493199</v>
      </c>
      <c r="AG628">
        <v>856815.74867568898</v>
      </c>
      <c r="AH628">
        <v>856815.74867568898</v>
      </c>
      <c r="AI628">
        <v>136462.55130178601</v>
      </c>
      <c r="AJ628">
        <v>136462.55130178601</v>
      </c>
      <c r="AL628">
        <v>128919.79536413601</v>
      </c>
      <c r="AM628">
        <v>129099.041444951</v>
      </c>
      <c r="AN628">
        <v>7542.7559377635898</v>
      </c>
      <c r="AO628">
        <v>7363.5098568351796</v>
      </c>
      <c r="AP628">
        <v>1872020.5836736299</v>
      </c>
      <c r="AQ628">
        <v>1872020.5836736299</v>
      </c>
      <c r="AR628">
        <v>843743.55628357898</v>
      </c>
      <c r="AS628">
        <v>843743.55628357898</v>
      </c>
      <c r="AT628">
        <v>843743.55628357898</v>
      </c>
      <c r="AU628">
        <v>843743.55628357898</v>
      </c>
      <c r="AV628">
        <v>843743.55628357898</v>
      </c>
      <c r="AW628">
        <v>801503.33547806903</v>
      </c>
      <c r="AX628">
        <v>42240.220805506702</v>
      </c>
      <c r="AY628">
        <v>1028259.6146812</v>
      </c>
      <c r="AZ628">
        <v>1028259.6146812</v>
      </c>
      <c r="BA628">
        <v>1028259.6146812</v>
      </c>
      <c r="BB628">
        <v>1028259.6146812</v>
      </c>
      <c r="BC628">
        <v>1028259.6146812</v>
      </c>
      <c r="BD628">
        <v>5141.2980734060002</v>
      </c>
      <c r="BE628" s="752">
        <v>1023118.31660779</v>
      </c>
      <c r="BF628" s="752">
        <v>720353.19737390301</v>
      </c>
      <c r="BH628">
        <v>720353.19737390301</v>
      </c>
      <c r="BI628">
        <v>716751.43138703401</v>
      </c>
      <c r="BJ628">
        <v>3601.76598686952</v>
      </c>
      <c r="BK628">
        <v>353437.90704149503</v>
      </c>
      <c r="BL628">
        <v>6474193.4302630499</v>
      </c>
      <c r="BM628">
        <v>6827631.3373045297</v>
      </c>
      <c r="BN628">
        <v>336472.59755034</v>
      </c>
      <c r="BO628">
        <v>29821.697984321301</v>
      </c>
      <c r="BP628">
        <v>12418.522821185499</v>
      </c>
      <c r="BQ628">
        <v>1111078.5690741299</v>
      </c>
      <c r="BR628">
        <v>1111078.5690741299</v>
      </c>
      <c r="BS628">
        <v>8689.5560742031394</v>
      </c>
      <c r="BT628">
        <v>42240.220805506702</v>
      </c>
      <c r="BU628">
        <v>136462.55130178601</v>
      </c>
      <c r="BV628">
        <v>856815.74867568898</v>
      </c>
      <c r="BW628">
        <v>1111078.5690741299</v>
      </c>
      <c r="CA628" s="62"/>
      <c r="CF628" s="753">
        <v>872130.59772163199</v>
      </c>
      <c r="CG628" s="753">
        <v>562794.13948975503</v>
      </c>
      <c r="CH628" s="753">
        <v>309336.45822349598</v>
      </c>
      <c r="CI628" s="753">
        <v>50580.421558419199</v>
      </c>
      <c r="CJ628" s="753">
        <v>414643.46859881998</v>
      </c>
      <c r="CK628" s="753">
        <v>198698.047549551</v>
      </c>
    </row>
    <row r="629" spans="2:89">
      <c r="B629" s="61" t="s">
        <v>132</v>
      </c>
      <c r="C629" t="s">
        <v>119</v>
      </c>
      <c r="D629">
        <v>0</v>
      </c>
      <c r="E629" s="44">
        <v>7.2571679999999894E-8</v>
      </c>
      <c r="F629">
        <v>624942.17353780998</v>
      </c>
      <c r="G629">
        <v>624942.17353780998</v>
      </c>
      <c r="H629">
        <v>654861.20072617498</v>
      </c>
      <c r="I629">
        <v>654861.20072617498</v>
      </c>
      <c r="J629">
        <v>654861.20072617498</v>
      </c>
      <c r="K629">
        <v>654861.20072617498</v>
      </c>
      <c r="L629">
        <v>654861.20072617498</v>
      </c>
      <c r="M629">
        <v>654861.20072617498</v>
      </c>
      <c r="N629">
        <v>654810.91573179595</v>
      </c>
      <c r="O629">
        <v>8.2644625124838698E-3</v>
      </c>
      <c r="P629">
        <v>0.288701010376468</v>
      </c>
      <c r="Q629">
        <v>9.6724494012038503E-2</v>
      </c>
      <c r="R629">
        <v>9.6573141681197794E-2</v>
      </c>
      <c r="S629">
        <v>9.5403374683231207E-2</v>
      </c>
      <c r="T629">
        <v>654810.62703078706</v>
      </c>
      <c r="U629">
        <v>654810.62703078706</v>
      </c>
      <c r="V629">
        <v>0.33595822505282202</v>
      </c>
      <c r="W629">
        <v>654810.29107256304</v>
      </c>
      <c r="X629">
        <v>654810.29107256304</v>
      </c>
      <c r="Y629">
        <v>1.13150696847684</v>
      </c>
      <c r="Z629">
        <v>1.13150696847684</v>
      </c>
      <c r="AA629" s="44">
        <v>1.3709385754184301E-7</v>
      </c>
      <c r="AB629" s="44">
        <v>3.3402295750796599E-8</v>
      </c>
      <c r="AC629">
        <v>1.1315068313829899</v>
      </c>
      <c r="AD629">
        <v>1.1315069350745499</v>
      </c>
      <c r="AE629">
        <v>654810.29104676098</v>
      </c>
      <c r="AF629">
        <v>654810.29104676098</v>
      </c>
      <c r="AG629">
        <v>3142.2948140046001</v>
      </c>
      <c r="AH629">
        <v>3142.2948140046001</v>
      </c>
      <c r="AI629" s="44">
        <v>3.7203140389358497E-11</v>
      </c>
      <c r="AJ629" s="44">
        <v>3.7203140389358497E-11</v>
      </c>
      <c r="AL629" s="44">
        <v>3.7203140389048201E-11</v>
      </c>
      <c r="AM629" s="44">
        <v>3.7203140389167302E-11</v>
      </c>
      <c r="AN629" s="44">
        <v>1.3682041326233E-153</v>
      </c>
      <c r="AO629" s="44">
        <v>1.91325615285194E-22</v>
      </c>
      <c r="AP629">
        <v>651667.996232757</v>
      </c>
      <c r="AQ629">
        <v>651667.996232757</v>
      </c>
      <c r="AR629">
        <v>648188.237306586</v>
      </c>
      <c r="AS629">
        <v>648188.237306586</v>
      </c>
      <c r="AT629">
        <v>648188.237306586</v>
      </c>
      <c r="AU629">
        <v>648188.237306586</v>
      </c>
      <c r="AV629">
        <v>648188.237306586</v>
      </c>
      <c r="AW629">
        <v>615738.07627902995</v>
      </c>
      <c r="AX629">
        <v>32450.161027553</v>
      </c>
      <c r="AY629">
        <v>3466.3827894886299</v>
      </c>
      <c r="AZ629">
        <v>3466.3827894886299</v>
      </c>
      <c r="BA629">
        <v>3466.3827894886299</v>
      </c>
      <c r="BB629">
        <v>3466.3827894886299</v>
      </c>
      <c r="BC629" s="742">
        <v>3466.3827894886299</v>
      </c>
      <c r="BD629" s="742">
        <v>17.331913947443201</v>
      </c>
      <c r="BE629">
        <v>3449.0508755411902</v>
      </c>
      <c r="BF629">
        <v>3142.2948140045601</v>
      </c>
      <c r="BH629">
        <v>3142.2948140045601</v>
      </c>
      <c r="BI629">
        <v>3126.5833399345402</v>
      </c>
      <c r="BJ629">
        <v>15.711474070022801</v>
      </c>
      <c r="BK629">
        <v>0</v>
      </c>
      <c r="BL629">
        <v>0</v>
      </c>
      <c r="BM629">
        <v>0</v>
      </c>
      <c r="BN629">
        <v>0</v>
      </c>
      <c r="BO629">
        <v>29821.697984321301</v>
      </c>
      <c r="BP629">
        <v>2628.4630432317899</v>
      </c>
      <c r="BQ629">
        <v>0</v>
      </c>
      <c r="BR629">
        <v>0</v>
      </c>
      <c r="BS629">
        <v>1.13150696847684</v>
      </c>
      <c r="BT629">
        <v>32450.161027553</v>
      </c>
      <c r="BU629" s="44">
        <v>3.7203140389358497E-11</v>
      </c>
      <c r="BV629">
        <v>3142.2948140046001</v>
      </c>
      <c r="BW629">
        <v>0</v>
      </c>
      <c r="CA629" s="62"/>
      <c r="CF629" s="742">
        <v>0</v>
      </c>
      <c r="CG629" s="742">
        <v>0</v>
      </c>
      <c r="CH629" s="742">
        <v>0</v>
      </c>
      <c r="CI629" s="742">
        <v>73.225771591738393</v>
      </c>
      <c r="CJ629" s="742">
        <v>2.5905715189673E-3</v>
      </c>
      <c r="CK629" s="742">
        <v>73.2231810202193</v>
      </c>
    </row>
    <row r="630" spans="2:89">
      <c r="B630" s="61" t="s">
        <v>131</v>
      </c>
      <c r="C630" t="s">
        <v>119</v>
      </c>
      <c r="D630">
        <v>211552.667568</v>
      </c>
      <c r="E630">
        <v>0</v>
      </c>
      <c r="F630" s="44">
        <v>2131676.3129891702</v>
      </c>
      <c r="G630">
        <v>2131676.3129891702</v>
      </c>
      <c r="H630">
        <v>1929015.82395826</v>
      </c>
      <c r="I630">
        <v>1929015.82395826</v>
      </c>
      <c r="J630">
        <v>1929015.82395826</v>
      </c>
      <c r="K630">
        <v>1929015.82395826</v>
      </c>
      <c r="L630">
        <v>1929015.82395826</v>
      </c>
      <c r="M630">
        <v>1929015.82395826</v>
      </c>
      <c r="N630">
        <v>1928879.1964897001</v>
      </c>
      <c r="O630">
        <v>0.159912103176092</v>
      </c>
      <c r="P630">
        <v>5.4856899309665401</v>
      </c>
      <c r="Q630">
        <v>1.85896275435537</v>
      </c>
      <c r="R630">
        <v>1.8376560377983999</v>
      </c>
      <c r="S630">
        <v>1.78907113881275</v>
      </c>
      <c r="T630">
        <v>1928873.71079977</v>
      </c>
      <c r="U630">
        <v>1928873.71079977</v>
      </c>
      <c r="V630">
        <v>8.0244531023497707</v>
      </c>
      <c r="W630">
        <v>1928865.6863466699</v>
      </c>
      <c r="X630" s="44">
        <v>1928865.6863466699</v>
      </c>
      <c r="Y630" s="44">
        <v>90.933445815474201</v>
      </c>
      <c r="Z630">
        <v>90.933445815474201</v>
      </c>
      <c r="AA630">
        <v>2.4944417606081001E-4</v>
      </c>
      <c r="AB630">
        <v>1.3708992136832101E-4</v>
      </c>
      <c r="AC630">
        <v>90.933196371298394</v>
      </c>
      <c r="AD630">
        <v>90.933308725553204</v>
      </c>
      <c r="AE630" s="44">
        <v>1928865.68404994</v>
      </c>
      <c r="AF630" s="44">
        <v>1928865.68404994</v>
      </c>
      <c r="AG630" s="44">
        <v>717272.80914008606</v>
      </c>
      <c r="AH630" s="44">
        <v>717272.80914008606</v>
      </c>
      <c r="AI630" s="44">
        <v>71.727291495852498</v>
      </c>
      <c r="AJ630" s="44">
        <v>71.727291495852498</v>
      </c>
      <c r="AL630">
        <v>71.727291495254306</v>
      </c>
      <c r="AM630">
        <v>71.727291495852498</v>
      </c>
      <c r="AN630" s="44">
        <v>2.6506582143878699E-63</v>
      </c>
      <c r="AO630" s="44">
        <v>3.2038362007324499E-29</v>
      </c>
      <c r="AP630">
        <v>1211592.8749098601</v>
      </c>
      <c r="AQ630">
        <v>1211592.8749098601</v>
      </c>
      <c r="AR630">
        <v>195534.88750632401</v>
      </c>
      <c r="AS630">
        <v>195534.88750632401</v>
      </c>
      <c r="AT630">
        <v>195534.88750632401</v>
      </c>
      <c r="AU630">
        <v>195534.88750632401</v>
      </c>
      <c r="AV630">
        <v>195534.88750632401</v>
      </c>
      <c r="AW630">
        <v>185745.85058635299</v>
      </c>
      <c r="AX630">
        <v>9789.03691997036</v>
      </c>
      <c r="AY630">
        <v>1016053.95123166</v>
      </c>
      <c r="AZ630">
        <v>1016053.95123166</v>
      </c>
      <c r="BA630">
        <v>1016053.95123166</v>
      </c>
      <c r="BB630">
        <v>1016053.95123166</v>
      </c>
      <c r="BC630">
        <v>1016053.95123166</v>
      </c>
      <c r="BD630">
        <v>5080.26975615828</v>
      </c>
      <c r="BE630" s="755">
        <v>1010973.6814755</v>
      </c>
      <c r="BF630" s="755">
        <v>717201.08184859098</v>
      </c>
      <c r="BH630">
        <v>717201.08184859098</v>
      </c>
      <c r="BI630">
        <v>713615.07643934898</v>
      </c>
      <c r="BJ630">
        <v>3586.00540924295</v>
      </c>
      <c r="BK630" s="44">
        <v>353437.90704149503</v>
      </c>
      <c r="BL630" s="44">
        <v>0</v>
      </c>
      <c r="BM630">
        <v>0</v>
      </c>
      <c r="BN630">
        <v>0</v>
      </c>
      <c r="BO630">
        <v>0</v>
      </c>
      <c r="BP630">
        <v>9789.0369199703891</v>
      </c>
      <c r="BQ630">
        <v>0</v>
      </c>
      <c r="BR630">
        <v>0</v>
      </c>
      <c r="BS630">
        <v>90.933445815474201</v>
      </c>
      <c r="BT630">
        <v>9789.03691997036</v>
      </c>
      <c r="BU630">
        <v>71.727291495852498</v>
      </c>
      <c r="BV630">
        <v>717272.80914008606</v>
      </c>
      <c r="BW630">
        <v>0</v>
      </c>
      <c r="CA630" s="62"/>
      <c r="CF630" s="742">
        <v>0</v>
      </c>
      <c r="CG630" s="742">
        <v>0</v>
      </c>
      <c r="CH630" s="742">
        <v>0</v>
      </c>
      <c r="CI630" s="742">
        <v>0</v>
      </c>
      <c r="CJ630" s="742">
        <v>0</v>
      </c>
      <c r="CK630" s="742">
        <v>0</v>
      </c>
    </row>
    <row r="631" spans="2:89">
      <c r="B631" s="61" t="s">
        <v>133</v>
      </c>
      <c r="C631" t="s">
        <v>119</v>
      </c>
      <c r="D631">
        <v>0</v>
      </c>
      <c r="E631">
        <v>0</v>
      </c>
      <c r="F631">
        <v>131.29093925265801</v>
      </c>
      <c r="G631">
        <v>131.29093925265801</v>
      </c>
      <c r="H631">
        <v>7091.1338813202701</v>
      </c>
      <c r="I631">
        <v>7091.1338813202701</v>
      </c>
      <c r="J631">
        <v>7091.1338813202701</v>
      </c>
      <c r="K631">
        <v>7091.1338813202701</v>
      </c>
      <c r="L631">
        <v>7091.1338813202701</v>
      </c>
      <c r="M631">
        <v>7091.1338813202701</v>
      </c>
      <c r="N631">
        <v>7090.9473002775803</v>
      </c>
      <c r="O631">
        <v>4.0902972806760004E-3</v>
      </c>
      <c r="P631">
        <v>0.137426378504451</v>
      </c>
      <c r="Q631">
        <v>4.7181969646270201E-2</v>
      </c>
      <c r="R631">
        <v>4.6108566327571897E-2</v>
      </c>
      <c r="S631">
        <v>4.4135842530608503E-2</v>
      </c>
      <c r="T631">
        <v>7090.8098738990802</v>
      </c>
      <c r="U631">
        <v>7090.8098738990802</v>
      </c>
      <c r="V631">
        <v>0.23553416147638401</v>
      </c>
      <c r="W631">
        <v>7090.5743397376</v>
      </c>
      <c r="X631">
        <v>7090.5743397376</v>
      </c>
      <c r="Y631">
        <v>7.6318990707891903</v>
      </c>
      <c r="Z631">
        <v>7.6318990707891903</v>
      </c>
      <c r="AA631">
        <v>2.1291914110275799E-3</v>
      </c>
      <c r="AB631">
        <v>2.6765079123663598E-3</v>
      </c>
      <c r="AC631">
        <v>7.6297698793781503</v>
      </c>
      <c r="AD631">
        <v>7.62922256287683</v>
      </c>
      <c r="AE631">
        <v>7090.5720410796503</v>
      </c>
      <c r="AF631">
        <v>7090.5720410796503</v>
      </c>
      <c r="AG631">
        <v>6958.6277254262604</v>
      </c>
      <c r="AH631">
        <v>6958.6277254262604</v>
      </c>
      <c r="AI631" s="44">
        <v>6958.6216014891297</v>
      </c>
      <c r="AJ631" s="44">
        <v>6958.6216014891297</v>
      </c>
      <c r="AL631">
        <v>72.958270598406997</v>
      </c>
      <c r="AM631">
        <v>6.9586216014891402</v>
      </c>
      <c r="AN631">
        <v>6885.66333197528</v>
      </c>
      <c r="AO631">
        <v>6951.6629798876602</v>
      </c>
      <c r="AP631">
        <v>131.94431565340099</v>
      </c>
      <c r="AQ631">
        <v>131.94431565340099</v>
      </c>
      <c r="AR631">
        <v>5.05801204358797E-2</v>
      </c>
      <c r="AS631">
        <v>5.05801204358797E-2</v>
      </c>
      <c r="AT631">
        <v>5.05801204358797E-2</v>
      </c>
      <c r="AU631">
        <v>5.05801204358797E-2</v>
      </c>
      <c r="AV631">
        <v>5.05801204358797E-2</v>
      </c>
      <c r="AW631">
        <v>4.8047934631710199E-2</v>
      </c>
      <c r="AX631">
        <v>2.5321858041693901E-3</v>
      </c>
      <c r="AY631">
        <v>131.89373448722901</v>
      </c>
      <c r="AZ631">
        <v>131.89373448722901</v>
      </c>
      <c r="BA631">
        <v>131.89373448722901</v>
      </c>
      <c r="BB631">
        <v>131.89373448722901</v>
      </c>
      <c r="BC631">
        <v>131.89373448722901</v>
      </c>
      <c r="BD631">
        <v>0.65946867243614504</v>
      </c>
      <c r="BE631" s="755">
        <v>131.23426581479299</v>
      </c>
      <c r="BF631" s="755">
        <v>6.1239371142707E-3</v>
      </c>
      <c r="BH631">
        <v>6.1239371142707E-3</v>
      </c>
      <c r="BI631">
        <v>6.0933174286993503E-3</v>
      </c>
      <c r="BJ631" s="44">
        <v>3.0619685571353498E-5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2.5321858041694001E-3</v>
      </c>
      <c r="BQ631">
        <v>0</v>
      </c>
      <c r="BR631">
        <v>0</v>
      </c>
      <c r="BS631">
        <v>7.6318990707891903</v>
      </c>
      <c r="BT631">
        <v>2.5321858041693901E-3</v>
      </c>
      <c r="BU631">
        <v>6958.6216014891297</v>
      </c>
      <c r="BV631">
        <v>6958.6277254262604</v>
      </c>
      <c r="BW631">
        <v>0</v>
      </c>
      <c r="CA631" s="62"/>
      <c r="CF631" s="742">
        <v>0</v>
      </c>
      <c r="CG631" s="742">
        <v>0</v>
      </c>
      <c r="CH631" s="742">
        <v>0</v>
      </c>
      <c r="CI631" s="742">
        <v>0</v>
      </c>
      <c r="CJ631" s="742">
        <v>0</v>
      </c>
      <c r="CK631" s="742">
        <v>0</v>
      </c>
    </row>
    <row r="632" spans="2:89">
      <c r="B632" s="61" t="s">
        <v>134</v>
      </c>
      <c r="C632" t="s">
        <v>119</v>
      </c>
      <c r="D632">
        <v>0</v>
      </c>
      <c r="E632">
        <v>0</v>
      </c>
      <c r="F632">
        <v>8594.4962725678797</v>
      </c>
      <c r="G632">
        <v>8594.4962725678797</v>
      </c>
      <c r="H632">
        <v>137681.88847287901</v>
      </c>
      <c r="I632">
        <v>137681.88847287901</v>
      </c>
      <c r="J632">
        <v>137681.88847287901</v>
      </c>
      <c r="K632">
        <v>137681.88847287901</v>
      </c>
      <c r="L632">
        <v>137681.88847287901</v>
      </c>
      <c r="M632">
        <v>137681.88847287901</v>
      </c>
      <c r="N632">
        <v>137675.64999065199</v>
      </c>
      <c r="O632">
        <v>5.3115862700303003E-2</v>
      </c>
      <c r="P632">
        <v>1.7961822839712001</v>
      </c>
      <c r="Q632">
        <v>0.61417989772761095</v>
      </c>
      <c r="R632">
        <v>0.60236103959268605</v>
      </c>
      <c r="S632">
        <v>0.57964134665089895</v>
      </c>
      <c r="T632">
        <v>137673.853808368</v>
      </c>
      <c r="U632">
        <v>137673.853808368</v>
      </c>
      <c r="V632">
        <v>3.0024434645825799</v>
      </c>
      <c r="W632">
        <v>137670.851364904</v>
      </c>
      <c r="X632">
        <v>137670.851364904</v>
      </c>
      <c r="Y632">
        <v>80.821302413126304</v>
      </c>
      <c r="Z632">
        <v>80.821302413126205</v>
      </c>
      <c r="AA632">
        <v>8.1219196068490398E-3</v>
      </c>
      <c r="AB632">
        <v>8.08213024129136E-3</v>
      </c>
      <c r="AC632">
        <v>80.813180493519198</v>
      </c>
      <c r="AD632">
        <v>80.813220282884799</v>
      </c>
      <c r="AE632">
        <v>137670.84153649601</v>
      </c>
      <c r="AF632">
        <v>137670.84153649601</v>
      </c>
      <c r="AG632">
        <v>129043.07344511</v>
      </c>
      <c r="AH632">
        <v>129043.07344511</v>
      </c>
      <c r="AI632">
        <v>129033.258857739</v>
      </c>
      <c r="AJ632">
        <v>129033.258857739</v>
      </c>
      <c r="AL632">
        <v>128775.109802042</v>
      </c>
      <c r="AM632">
        <v>129020.355531854</v>
      </c>
      <c r="AN632">
        <v>258.149054663676</v>
      </c>
      <c r="AO632">
        <v>12.9033258857524</v>
      </c>
      <c r="AP632">
        <v>8627.7680913855802</v>
      </c>
      <c r="AQ632">
        <v>8627.7680913855802</v>
      </c>
      <c r="AR632">
        <v>20.380890548652399</v>
      </c>
      <c r="AS632">
        <v>20.380890548652399</v>
      </c>
      <c r="AT632">
        <v>20.380890548652399</v>
      </c>
      <c r="AU632">
        <v>20.380890548652399</v>
      </c>
      <c r="AV632">
        <v>20.380890548652399</v>
      </c>
      <c r="AW632">
        <v>19.360564751108001</v>
      </c>
      <c r="AX632">
        <v>1.0203257975443401</v>
      </c>
      <c r="AY632">
        <v>8607.3868015933203</v>
      </c>
      <c r="AZ632">
        <v>8607.3868015933203</v>
      </c>
      <c r="BA632">
        <v>8607.3868015933203</v>
      </c>
      <c r="BB632">
        <v>8607.3868015933203</v>
      </c>
      <c r="BC632">
        <v>8607.3868015933203</v>
      </c>
      <c r="BD632">
        <v>43.0369340079666</v>
      </c>
      <c r="BE632" s="755">
        <v>8564.3498675853498</v>
      </c>
      <c r="BF632" s="755">
        <v>9.8145873707414406</v>
      </c>
      <c r="BH632">
        <v>9.8145873707414406</v>
      </c>
      <c r="BI632">
        <v>9.7655144338877395</v>
      </c>
      <c r="BJ632">
        <v>4.90729368537072E-2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1.02032579754435</v>
      </c>
      <c r="BQ632">
        <v>0</v>
      </c>
      <c r="BR632">
        <v>0</v>
      </c>
      <c r="BS632">
        <v>80.821302413126205</v>
      </c>
      <c r="BT632">
        <v>1.0203257975443401</v>
      </c>
      <c r="BU632">
        <v>129033.258857739</v>
      </c>
      <c r="BV632">
        <v>129043.07344511</v>
      </c>
      <c r="BW632">
        <v>0</v>
      </c>
      <c r="CA632" s="62"/>
      <c r="CF632" s="742">
        <v>0</v>
      </c>
      <c r="CG632" s="742">
        <v>0</v>
      </c>
      <c r="CH632" s="742">
        <v>0</v>
      </c>
      <c r="CI632" s="742">
        <v>0</v>
      </c>
      <c r="CJ632" s="742">
        <v>0</v>
      </c>
      <c r="CK632" s="742">
        <v>0</v>
      </c>
    </row>
    <row r="633" spans="2:89">
      <c r="B633" s="61" t="s">
        <v>135</v>
      </c>
      <c r="C633" t="s">
        <v>119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 s="755">
        <v>0</v>
      </c>
      <c r="BF633" s="755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A633" s="62"/>
      <c r="CF633" s="742">
        <v>0</v>
      </c>
      <c r="CG633" s="742">
        <v>0</v>
      </c>
      <c r="CH633" s="742">
        <v>0</v>
      </c>
      <c r="CI633" s="742">
        <v>0</v>
      </c>
      <c r="CJ633" s="742">
        <v>0</v>
      </c>
      <c r="CK633" s="742">
        <v>0</v>
      </c>
    </row>
    <row r="634" spans="2:89">
      <c r="B634" s="61" t="s">
        <v>165</v>
      </c>
      <c r="C634" t="s">
        <v>119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 s="755">
        <v>0</v>
      </c>
      <c r="BF634" s="755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A634" s="62"/>
      <c r="CF634" s="742">
        <v>0</v>
      </c>
      <c r="CG634" s="742">
        <v>0</v>
      </c>
      <c r="CH634" s="742">
        <v>0</v>
      </c>
      <c r="CI634" s="742">
        <v>0</v>
      </c>
      <c r="CJ634" s="742">
        <v>0</v>
      </c>
      <c r="CK634" s="742">
        <v>0</v>
      </c>
    </row>
    <row r="635" spans="2:89">
      <c r="B635" s="61" t="s">
        <v>136</v>
      </c>
      <c r="C635" t="s">
        <v>119</v>
      </c>
      <c r="D635">
        <v>0</v>
      </c>
      <c r="E635">
        <v>0</v>
      </c>
      <c r="F635">
        <v>1.23173848468768E-4</v>
      </c>
      <c r="G635">
        <v>1.23173848468768E-4</v>
      </c>
      <c r="H635">
        <v>8236.1173674739093</v>
      </c>
      <c r="I635">
        <v>8236.1173674739093</v>
      </c>
      <c r="J635">
        <v>8236.1173674739093</v>
      </c>
      <c r="K635">
        <v>8236.1173674739093</v>
      </c>
      <c r="L635">
        <v>8236.1173674739093</v>
      </c>
      <c r="M635">
        <v>8236.1173674739093</v>
      </c>
      <c r="N635">
        <v>8394.1221453684502</v>
      </c>
      <c r="O635">
        <v>1.31031086066251</v>
      </c>
      <c r="P635">
        <v>41.818289564424397</v>
      </c>
      <c r="Q635">
        <v>14.8176578354038</v>
      </c>
      <c r="R635">
        <v>14.073460219502399</v>
      </c>
      <c r="S635">
        <v>12.9271715095181</v>
      </c>
      <c r="T635">
        <v>8352.3038558040298</v>
      </c>
      <c r="U635">
        <v>8352.3038558040298</v>
      </c>
      <c r="V635">
        <v>118.13646933934299</v>
      </c>
      <c r="W635">
        <v>8234.16738646462</v>
      </c>
      <c r="X635">
        <v>8234.16738646462</v>
      </c>
      <c r="Y635">
        <v>7837.1264551397298</v>
      </c>
      <c r="Z635">
        <v>7837.1264551397298</v>
      </c>
      <c r="AA635">
        <v>7836.3948254306897</v>
      </c>
      <c r="AB635">
        <v>7836.3427424942201</v>
      </c>
      <c r="AC635">
        <v>0.731629709020723</v>
      </c>
      <c r="AD635">
        <v>0.78371264551397202</v>
      </c>
      <c r="AE635">
        <v>397.59504578805399</v>
      </c>
      <c r="AF635">
        <v>397.59504578805399</v>
      </c>
      <c r="AG635" s="44">
        <v>397.594921995243</v>
      </c>
      <c r="AH635">
        <v>397.594921995243</v>
      </c>
      <c r="AI635">
        <v>397.59492199524198</v>
      </c>
      <c r="AJ635">
        <v>397.59492199524198</v>
      </c>
      <c r="AL635" s="44">
        <v>1.4784628120955699E-152</v>
      </c>
      <c r="AM635">
        <v>0</v>
      </c>
      <c r="AN635">
        <v>397.59492205790201</v>
      </c>
      <c r="AO635">
        <v>397.594921995243</v>
      </c>
      <c r="AP635">
        <v>1.23792812532037E-4</v>
      </c>
      <c r="AQ635">
        <v>1.23792812532037E-4</v>
      </c>
      <c r="AR635" s="44">
        <v>1.35053751920543E-14</v>
      </c>
      <c r="AS635" s="44">
        <v>1.35053751920543E-14</v>
      </c>
      <c r="AT635" s="44">
        <v>1.35053751920543E-14</v>
      </c>
      <c r="AU635" s="44">
        <v>1.35053751920543E-14</v>
      </c>
      <c r="AV635" s="44">
        <v>1.35053751920543E-14</v>
      </c>
      <c r="AW635" s="44">
        <v>1.2829257400190699E-14</v>
      </c>
      <c r="AX635" s="44">
        <v>6.7611779186358896E-16</v>
      </c>
      <c r="AY635">
        <v>1.2379281251853201E-4</v>
      </c>
      <c r="AZ635">
        <v>1.2379281251853201E-4</v>
      </c>
      <c r="BA635" s="44">
        <v>1.2379281251853201E-4</v>
      </c>
      <c r="BB635">
        <v>1.2379281251853201E-4</v>
      </c>
      <c r="BC635">
        <v>1.2379281251853201E-4</v>
      </c>
      <c r="BD635" s="44">
        <v>6.18964062592659E-7</v>
      </c>
      <c r="BE635" s="755">
        <v>1.2317384845593899E-4</v>
      </c>
      <c r="BF635" s="756">
        <v>5.8243883613930496E-20</v>
      </c>
      <c r="BH635" s="44">
        <v>5.8243883613930496E-20</v>
      </c>
      <c r="BI635" s="44">
        <v>5.7952664195860896E-20</v>
      </c>
      <c r="BJ635" s="44">
        <v>2.9121941806965202E-22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 s="44">
        <v>0</v>
      </c>
      <c r="BS635">
        <v>7837.1264551397298</v>
      </c>
      <c r="BT635" s="44">
        <v>6.7611779186358896E-16</v>
      </c>
      <c r="BU635">
        <v>397.59492199524198</v>
      </c>
      <c r="BV635">
        <v>397.594921995243</v>
      </c>
      <c r="BW635">
        <v>0</v>
      </c>
      <c r="CA635" s="62"/>
      <c r="CF635" s="742">
        <v>0</v>
      </c>
      <c r="CG635" s="742">
        <v>0</v>
      </c>
      <c r="CH635" s="742">
        <v>0</v>
      </c>
      <c r="CI635" s="742">
        <v>0</v>
      </c>
      <c r="CJ635" s="742">
        <v>0</v>
      </c>
      <c r="CK635" s="742">
        <v>0</v>
      </c>
    </row>
    <row r="636" spans="2:89">
      <c r="B636" s="61" t="s">
        <v>797</v>
      </c>
      <c r="C636" t="s">
        <v>119</v>
      </c>
      <c r="D636">
        <v>0</v>
      </c>
      <c r="E636">
        <v>0</v>
      </c>
      <c r="F636" s="44">
        <v>1.8180258105585999E-7</v>
      </c>
      <c r="G636" s="44">
        <v>1.8180258105585999E-7</v>
      </c>
      <c r="H636">
        <v>152.005639292707</v>
      </c>
      <c r="I636">
        <v>152.005639292707</v>
      </c>
      <c r="J636">
        <v>152.005639292707</v>
      </c>
      <c r="K636">
        <v>152.005639292707</v>
      </c>
      <c r="L636">
        <v>152.005639292707</v>
      </c>
      <c r="M636">
        <v>152.005639292707</v>
      </c>
      <c r="N636">
        <v>160.62584765424799</v>
      </c>
      <c r="O636">
        <v>7.3964889887100094E-2</v>
      </c>
      <c r="P636">
        <v>2.2619591238455801</v>
      </c>
      <c r="Q636">
        <v>0.82209357511982195</v>
      </c>
      <c r="R636">
        <v>0.76245533560331102</v>
      </c>
      <c r="S636">
        <v>0.67741021312243999</v>
      </c>
      <c r="T636">
        <v>158.36388853040199</v>
      </c>
      <c r="U636">
        <v>158.36388853040199</v>
      </c>
      <c r="V636">
        <v>6.4440111151188599</v>
      </c>
      <c r="W636">
        <v>151.91987741528101</v>
      </c>
      <c r="X636">
        <v>151.91987741528101</v>
      </c>
      <c r="Y636">
        <v>150.57068145974301</v>
      </c>
      <c r="Z636">
        <v>150.57068145974301</v>
      </c>
      <c r="AA636">
        <v>150.57003516412101</v>
      </c>
      <c r="AB636">
        <v>150.57068145974301</v>
      </c>
      <c r="AC636">
        <v>6.4629562044314897E-4</v>
      </c>
      <c r="AD636">
        <v>0</v>
      </c>
      <c r="AE636">
        <v>1.3459213762893401</v>
      </c>
      <c r="AF636">
        <v>1.3459213762893401</v>
      </c>
      <c r="AG636" s="44">
        <v>1.3459211935731801</v>
      </c>
      <c r="AH636">
        <v>1.3459211935731801</v>
      </c>
      <c r="AI636">
        <v>1.3459211935731801</v>
      </c>
      <c r="AJ636">
        <v>1.3459211935731801</v>
      </c>
      <c r="AL636" s="44">
        <v>7.1139064673339806E-213</v>
      </c>
      <c r="AM636" s="44">
        <v>0</v>
      </c>
      <c r="AN636" s="44">
        <v>1.34592119378529</v>
      </c>
      <c r="AO636" s="44">
        <v>1.3459211935731801</v>
      </c>
      <c r="AP636" s="44">
        <v>1.82716161866197E-7</v>
      </c>
      <c r="AQ636" s="44">
        <v>1.82716161866197E-7</v>
      </c>
      <c r="AR636" s="44">
        <v>2.2314151169530099E-17</v>
      </c>
      <c r="AS636" s="44">
        <v>2.2314151169530099E-17</v>
      </c>
      <c r="AT636" s="44">
        <v>2.2314151169530099E-17</v>
      </c>
      <c r="AU636" s="44">
        <v>2.2314151169530099E-17</v>
      </c>
      <c r="AV636" s="44">
        <v>2.2314151169530099E-17</v>
      </c>
      <c r="AW636" s="44">
        <v>2.1197040804100901E-17</v>
      </c>
      <c r="AX636" s="44">
        <v>1.11711036542911E-18</v>
      </c>
      <c r="AY636" s="44">
        <v>1.8271616184388199E-7</v>
      </c>
      <c r="AZ636" s="44">
        <v>1.8271616184388199E-7</v>
      </c>
      <c r="BA636" s="44">
        <v>1.8271616184388199E-7</v>
      </c>
      <c r="BB636" s="44">
        <v>1.8271616184388199E-7</v>
      </c>
      <c r="BC636" s="44">
        <v>1.8271616184388199E-7</v>
      </c>
      <c r="BD636" s="44">
        <v>9.1358080921941204E-10</v>
      </c>
      <c r="BE636" s="756">
        <v>1.8180258103466299E-7</v>
      </c>
      <c r="BF636" s="756">
        <v>4.1946099101152898E-24</v>
      </c>
      <c r="BH636" s="44">
        <v>4.1946099101152898E-24</v>
      </c>
      <c r="BI636" s="44">
        <v>4.17363686056472E-24</v>
      </c>
      <c r="BJ636" s="44">
        <v>2.0973049550576399E-26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 s="44">
        <v>0</v>
      </c>
      <c r="BS636">
        <v>150.57068145974301</v>
      </c>
      <c r="BT636" s="44">
        <v>1.11711036542911E-18</v>
      </c>
      <c r="BU636">
        <v>1.3459211935731801</v>
      </c>
      <c r="BV636">
        <v>1.3459211935731801</v>
      </c>
      <c r="BW636">
        <v>0</v>
      </c>
      <c r="CA636" s="62"/>
      <c r="CF636" s="742">
        <v>0</v>
      </c>
      <c r="CG636" s="742">
        <v>0</v>
      </c>
      <c r="CH636" s="742">
        <v>0</v>
      </c>
      <c r="CI636" s="742">
        <v>0</v>
      </c>
      <c r="CJ636" s="742">
        <v>0</v>
      </c>
      <c r="CK636" s="742">
        <v>0</v>
      </c>
    </row>
    <row r="637" spans="2:89">
      <c r="B637" s="61" t="s">
        <v>137</v>
      </c>
      <c r="C637" t="s">
        <v>119</v>
      </c>
      <c r="D637">
        <v>0</v>
      </c>
      <c r="E637">
        <v>0</v>
      </c>
      <c r="F637" s="44">
        <v>4.1292310708326097E-45</v>
      </c>
      <c r="G637" s="44">
        <v>4.1292310708326097E-45</v>
      </c>
      <c r="H637" s="44">
        <v>856.97309921931901</v>
      </c>
      <c r="I637">
        <v>856.97309921931901</v>
      </c>
      <c r="J637">
        <v>856.97309921931901</v>
      </c>
      <c r="K637">
        <v>856.97309921931901</v>
      </c>
      <c r="L637">
        <v>856.97309921931901</v>
      </c>
      <c r="M637">
        <v>856.97309921931901</v>
      </c>
      <c r="N637">
        <v>8741.34383591197</v>
      </c>
      <c r="O637">
        <v>334.93907732769401</v>
      </c>
      <c r="P637">
        <v>5459.0688817549199</v>
      </c>
      <c r="Q637">
        <v>2606.1385660814799</v>
      </c>
      <c r="R637">
        <v>1725.7586939385201</v>
      </c>
      <c r="S637">
        <v>1127.1716217349001</v>
      </c>
      <c r="T637">
        <v>3282.2749541570602</v>
      </c>
      <c r="U637">
        <v>3282.2749541570602</v>
      </c>
      <c r="V637">
        <v>2760.9208057108199</v>
      </c>
      <c r="W637">
        <v>521.35414844514196</v>
      </c>
      <c r="X637">
        <v>521.35414844514196</v>
      </c>
      <c r="Y637">
        <v>521.34078333579703</v>
      </c>
      <c r="Z637">
        <v>521.34078333579703</v>
      </c>
      <c r="AA637">
        <v>521.34078327885004</v>
      </c>
      <c r="AB637">
        <v>521.34078333579703</v>
      </c>
      <c r="AC637" s="44">
        <v>5.69451067264487E-8</v>
      </c>
      <c r="AD637">
        <v>0</v>
      </c>
      <c r="AE637">
        <v>2.70787294820374E-3</v>
      </c>
      <c r="AF637">
        <v>2.70787294820374E-3</v>
      </c>
      <c r="AG637" s="44">
        <v>2.7078729482029702E-3</v>
      </c>
      <c r="AH637" s="44">
        <v>2.7078729482029702E-3</v>
      </c>
      <c r="AI637">
        <v>2.7078729482029602E-3</v>
      </c>
      <c r="AJ637">
        <v>2.7078729482029602E-3</v>
      </c>
      <c r="AK637" s="44"/>
      <c r="AL637" s="44">
        <v>0</v>
      </c>
      <c r="AM637" s="44">
        <v>0</v>
      </c>
      <c r="AN637" s="44">
        <v>2.70787294862971E-3</v>
      </c>
      <c r="AO637" s="44">
        <v>2.7078729482029702E-3</v>
      </c>
      <c r="AP637" s="44">
        <v>7.7749325036649703E-16</v>
      </c>
      <c r="AQ637" s="44">
        <v>7.7749325036649703E-16</v>
      </c>
      <c r="AR637" s="44">
        <v>0</v>
      </c>
      <c r="AS637" s="44">
        <v>0</v>
      </c>
      <c r="AT637" s="44">
        <v>0</v>
      </c>
      <c r="AU637" s="44">
        <v>0</v>
      </c>
      <c r="AV637" s="44">
        <v>0</v>
      </c>
      <c r="AW637" s="44">
        <v>0</v>
      </c>
      <c r="AX637" s="44">
        <v>0</v>
      </c>
      <c r="AY637" s="44">
        <v>0</v>
      </c>
      <c r="AZ637" s="44">
        <v>0</v>
      </c>
      <c r="BA637" s="44">
        <v>0</v>
      </c>
      <c r="BB637">
        <v>0</v>
      </c>
      <c r="BC637">
        <v>0</v>
      </c>
      <c r="BD637">
        <v>0</v>
      </c>
      <c r="BE637" s="755">
        <v>0</v>
      </c>
      <c r="BF637" s="756">
        <v>4.1499809757111702E-45</v>
      </c>
      <c r="BH637" s="44">
        <v>4.1499809757111702E-45</v>
      </c>
      <c r="BI637" s="44">
        <v>4.1292310708326203E-45</v>
      </c>
      <c r="BJ637" s="44">
        <v>2.07499048785558E-47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 s="44">
        <v>0</v>
      </c>
      <c r="BS637">
        <v>521.34078333579703</v>
      </c>
      <c r="BT637">
        <v>0</v>
      </c>
      <c r="BU637">
        <v>2.7078729482029602E-3</v>
      </c>
      <c r="BV637">
        <v>2.7078729482029702E-3</v>
      </c>
      <c r="BW637">
        <v>0</v>
      </c>
      <c r="CA637" s="62"/>
      <c r="CF637" s="742">
        <v>0</v>
      </c>
      <c r="CG637" s="742">
        <v>0</v>
      </c>
      <c r="CH637" s="742">
        <v>0</v>
      </c>
      <c r="CI637" s="742">
        <v>0</v>
      </c>
      <c r="CJ637" s="742">
        <v>0</v>
      </c>
      <c r="CK637" s="742">
        <v>0</v>
      </c>
    </row>
    <row r="638" spans="2:89">
      <c r="B638" s="61" t="s">
        <v>91</v>
      </c>
      <c r="C638" t="s">
        <v>119</v>
      </c>
      <c r="D638">
        <v>0</v>
      </c>
      <c r="E638">
        <v>0</v>
      </c>
      <c r="F638">
        <v>0</v>
      </c>
      <c r="G638" s="44">
        <v>0</v>
      </c>
      <c r="H638" s="44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 s="44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 s="44">
        <v>0</v>
      </c>
      <c r="AI638">
        <v>0</v>
      </c>
      <c r="AJ638">
        <v>0</v>
      </c>
      <c r="AK638" s="44"/>
      <c r="AL638" s="44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 s="44">
        <v>0</v>
      </c>
      <c r="BB638">
        <v>0</v>
      </c>
      <c r="BC638">
        <v>0</v>
      </c>
      <c r="BD638">
        <v>0</v>
      </c>
      <c r="BE638" s="755">
        <v>0</v>
      </c>
      <c r="BF638" s="755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 s="44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A638" s="62"/>
      <c r="CF638" s="742">
        <v>0</v>
      </c>
      <c r="CG638" s="742">
        <v>0</v>
      </c>
      <c r="CH638" s="742">
        <v>0</v>
      </c>
      <c r="CI638" s="742">
        <v>0</v>
      </c>
      <c r="CJ638" s="742">
        <v>0</v>
      </c>
      <c r="CK638" s="742">
        <v>0</v>
      </c>
    </row>
    <row r="639" spans="2:89">
      <c r="B639" s="61" t="s">
        <v>166</v>
      </c>
      <c r="C639" t="s">
        <v>119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 s="755">
        <v>0</v>
      </c>
      <c r="BF639" s="755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793788.95626020897</v>
      </c>
      <c r="BN639">
        <v>0</v>
      </c>
      <c r="BO639">
        <v>0</v>
      </c>
      <c r="BP639">
        <v>0</v>
      </c>
      <c r="BQ639">
        <v>1111078.5690741299</v>
      </c>
      <c r="BR639">
        <v>1111078.5690741299</v>
      </c>
      <c r="BS639">
        <v>0</v>
      </c>
      <c r="BT639">
        <v>0</v>
      </c>
      <c r="BU639">
        <v>0</v>
      </c>
      <c r="BV639">
        <v>0</v>
      </c>
      <c r="BW639">
        <v>1111078.5690741299</v>
      </c>
      <c r="CA639" s="62"/>
      <c r="CF639" s="742">
        <v>0</v>
      </c>
      <c r="CG639" s="742">
        <v>0</v>
      </c>
      <c r="CH639" s="742">
        <v>0</v>
      </c>
      <c r="CI639" s="742">
        <v>0</v>
      </c>
      <c r="CJ639" s="742">
        <v>0</v>
      </c>
      <c r="CK639" s="742">
        <v>0</v>
      </c>
    </row>
    <row r="640" spans="2:89">
      <c r="B640" s="61" t="s">
        <v>167</v>
      </c>
      <c r="C640" t="s">
        <v>119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 s="755">
        <v>0</v>
      </c>
      <c r="BF640" s="755">
        <v>0</v>
      </c>
      <c r="BH640">
        <v>0</v>
      </c>
      <c r="BI640">
        <v>0</v>
      </c>
      <c r="BJ640">
        <v>0</v>
      </c>
      <c r="BK640">
        <v>0</v>
      </c>
      <c r="BL640">
        <v>1438129.1844840001</v>
      </c>
      <c r="BM640">
        <v>28198.611460470602</v>
      </c>
      <c r="BN640">
        <v>1346.3927920708099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A640" s="62"/>
      <c r="CF640" s="742">
        <v>317351.46740000101</v>
      </c>
      <c r="CG640" s="742">
        <v>8326.5776371063293</v>
      </c>
      <c r="CH640" s="742">
        <v>309023.80067737901</v>
      </c>
      <c r="CI640" s="742">
        <v>50507.195786827499</v>
      </c>
      <c r="CJ640" s="742">
        <v>21151.830831285501</v>
      </c>
      <c r="CK640" s="742">
        <v>37681.942592648098</v>
      </c>
    </row>
    <row r="641" spans="2:89">
      <c r="B641" s="61" t="s">
        <v>168</v>
      </c>
      <c r="C641" t="s">
        <v>119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 s="755">
        <v>0</v>
      </c>
      <c r="BF641" s="755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969579.52380480699</v>
      </c>
      <c r="BN641">
        <v>92588.593166739796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A641" s="62"/>
      <c r="CF641" s="742">
        <v>11901.136802630001</v>
      </c>
      <c r="CG641" s="742">
        <v>11900.8157540997</v>
      </c>
      <c r="CH641" s="742">
        <v>0.32104819704530502</v>
      </c>
      <c r="CI641" s="742">
        <v>0</v>
      </c>
      <c r="CJ641" s="742">
        <v>1.61193195355094</v>
      </c>
      <c r="CK641" s="742">
        <v>11899.203822146101</v>
      </c>
    </row>
    <row r="642" spans="2:89">
      <c r="B642" s="61" t="s">
        <v>849</v>
      </c>
      <c r="C642" t="s">
        <v>119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 s="755">
        <v>0</v>
      </c>
      <c r="BF642" s="755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A642" s="62"/>
      <c r="CF642" s="753">
        <v>430784.73185500101</v>
      </c>
      <c r="CG642" s="753">
        <v>430475.02864446997</v>
      </c>
      <c r="CH642" s="753">
        <v>308.37291973718101</v>
      </c>
      <c r="CI642" s="753">
        <v>0</v>
      </c>
      <c r="CJ642" s="753">
        <v>393481.46083437599</v>
      </c>
      <c r="CK642" s="753">
        <v>36960.522910290398</v>
      </c>
    </row>
    <row r="643" spans="2:89">
      <c r="B643" s="61" t="s">
        <v>850</v>
      </c>
      <c r="C643" t="s">
        <v>119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 s="755">
        <v>0</v>
      </c>
      <c r="BF643" s="755">
        <v>0</v>
      </c>
      <c r="BH643">
        <v>0</v>
      </c>
      <c r="BI643">
        <v>0</v>
      </c>
      <c r="BJ643">
        <v>0</v>
      </c>
      <c r="BK643">
        <v>0</v>
      </c>
      <c r="BL643">
        <v>5036064.2457790496</v>
      </c>
      <c r="BM643">
        <v>5036064.2457790403</v>
      </c>
      <c r="BN643">
        <v>240455.83274295201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A643" s="62"/>
      <c r="CF643" s="742">
        <v>0</v>
      </c>
      <c r="CG643" s="742">
        <v>0</v>
      </c>
      <c r="CH643" s="742">
        <v>0</v>
      </c>
      <c r="CI643" s="742">
        <v>0</v>
      </c>
      <c r="CJ643" s="742">
        <v>0</v>
      </c>
      <c r="CK643" s="742">
        <v>0</v>
      </c>
    </row>
    <row r="644" spans="2:89">
      <c r="B644" s="61" t="s">
        <v>1089</v>
      </c>
      <c r="C644" t="s">
        <v>119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 s="755">
        <v>0</v>
      </c>
      <c r="BF644" s="755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2081.7788485769402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A644" s="62"/>
      <c r="CF644" s="742">
        <v>112093.26166400001</v>
      </c>
      <c r="CG644" s="742">
        <v>112091.717454079</v>
      </c>
      <c r="CH644" s="742">
        <v>1.5442067827241801</v>
      </c>
      <c r="CI644" s="742">
        <v>0</v>
      </c>
      <c r="CJ644" s="742">
        <v>8.5624106325978104</v>
      </c>
      <c r="CK644" s="742">
        <v>112083.15504344599</v>
      </c>
    </row>
    <row r="645" spans="2:89">
      <c r="B645" s="61" t="s">
        <v>120</v>
      </c>
      <c r="BC645"/>
      <c r="BD645"/>
      <c r="BE645" s="755"/>
      <c r="BF645" s="755"/>
      <c r="CA645" s="62"/>
      <c r="CF645" s="742"/>
      <c r="CG645" s="742"/>
      <c r="CH645" s="742"/>
      <c r="CI645" s="742"/>
      <c r="CJ645" s="742"/>
      <c r="CK645" s="742"/>
    </row>
    <row r="646" spans="2:89">
      <c r="B646" s="61" t="s">
        <v>132</v>
      </c>
      <c r="D646">
        <v>0</v>
      </c>
      <c r="E646">
        <v>1</v>
      </c>
      <c r="F646">
        <v>0.22599073086296001</v>
      </c>
      <c r="G646">
        <v>0.22599073086296001</v>
      </c>
      <c r="H646">
        <v>0.239184178534329</v>
      </c>
      <c r="I646">
        <v>0.239184178534329</v>
      </c>
      <c r="J646">
        <v>0.239184178534329</v>
      </c>
      <c r="K646">
        <v>0.239184178534329</v>
      </c>
      <c r="L646">
        <v>0.239184178534329</v>
      </c>
      <c r="M646">
        <v>0.239184178534329</v>
      </c>
      <c r="N646">
        <v>0.238481379464279</v>
      </c>
      <c r="O646" s="44">
        <v>2.4556510345351801E-5</v>
      </c>
      <c r="P646" s="44">
        <v>5.23876782800947E-5</v>
      </c>
      <c r="Q646" s="44">
        <v>3.6855915554013197E-5</v>
      </c>
      <c r="R646" s="44">
        <v>5.5400641817980501E-5</v>
      </c>
      <c r="S646" s="44">
        <v>8.3446752251924204E-5</v>
      </c>
      <c r="T646">
        <v>0.238960880229593</v>
      </c>
      <c r="U646">
        <v>0.238960880229593</v>
      </c>
      <c r="V646">
        <v>1.15963640442938E-4</v>
      </c>
      <c r="W646">
        <v>0.23921366443090999</v>
      </c>
      <c r="X646">
        <v>0.23921366443090999</v>
      </c>
      <c r="Y646">
        <v>1.3021458850308499E-4</v>
      </c>
      <c r="Z646">
        <v>1.3021458850308499E-4</v>
      </c>
      <c r="AA646" s="44">
        <v>1.6112924721233101E-11</v>
      </c>
      <c r="AB646" s="44">
        <v>3.9258644795656203E-12</v>
      </c>
      <c r="AC646">
        <v>6.2431431840004404E-3</v>
      </c>
      <c r="AD646">
        <v>6.2413860319963802E-3</v>
      </c>
      <c r="AE646">
        <v>0.23995953267121001</v>
      </c>
      <c r="AF646">
        <v>0.23995953267121001</v>
      </c>
      <c r="AG646">
        <v>3.6674101974215499E-3</v>
      </c>
      <c r="AH646">
        <v>3.6674101974215499E-3</v>
      </c>
      <c r="AI646" s="44">
        <v>2.7262527363337901E-16</v>
      </c>
      <c r="AJ646" s="44">
        <v>2.7262527363337901E-16</v>
      </c>
      <c r="AL646" s="44">
        <v>2.8857585667094299E-16</v>
      </c>
      <c r="AM646" s="44">
        <v>2.8817518683925302E-16</v>
      </c>
      <c r="AN646" s="44">
        <v>1.8139313321451199E-157</v>
      </c>
      <c r="AO646" s="44">
        <v>2.59829373498559E-26</v>
      </c>
      <c r="AP646">
        <v>0.34810941819556901</v>
      </c>
      <c r="AQ646">
        <v>0.34810941819556901</v>
      </c>
      <c r="AR646">
        <v>0.76822896302953503</v>
      </c>
      <c r="AS646">
        <v>0.76822896302953503</v>
      </c>
      <c r="AT646">
        <v>0.76822896302953503</v>
      </c>
      <c r="AU646">
        <v>0.76822896302953503</v>
      </c>
      <c r="AV646">
        <v>0.76822896302953503</v>
      </c>
      <c r="AW646">
        <v>0.76822896302953403</v>
      </c>
      <c r="AX646">
        <v>0.76822896302953503</v>
      </c>
      <c r="AY646">
        <v>3.3711163406561898E-3</v>
      </c>
      <c r="AZ646">
        <v>3.3711163406561898E-3</v>
      </c>
      <c r="BA646">
        <v>3.3711163406561898E-3</v>
      </c>
      <c r="BB646">
        <v>3.3711163406561898E-3</v>
      </c>
      <c r="BC646" s="742">
        <v>3.3711163406561898E-3</v>
      </c>
      <c r="BD646" s="742">
        <v>3.3711163406561898E-3</v>
      </c>
      <c r="BE646">
        <v>3.3711163406561898E-3</v>
      </c>
      <c r="BF646">
        <v>4.3621584876141501E-3</v>
      </c>
      <c r="BH646">
        <v>4.3621584876141501E-3</v>
      </c>
      <c r="BI646">
        <v>4.3621584876141501E-3</v>
      </c>
      <c r="BJ646">
        <v>4.3621584876141501E-3</v>
      </c>
      <c r="BK646">
        <v>0</v>
      </c>
      <c r="BL646">
        <v>0</v>
      </c>
      <c r="BM646">
        <v>0</v>
      </c>
      <c r="BN646">
        <v>0</v>
      </c>
      <c r="BO646">
        <v>1</v>
      </c>
      <c r="BP646">
        <v>0.21165665845117501</v>
      </c>
      <c r="BQ646">
        <v>0</v>
      </c>
      <c r="BR646">
        <v>0</v>
      </c>
      <c r="BS646">
        <v>1.3021458850308499E-4</v>
      </c>
      <c r="BT646">
        <v>0.76822896302953503</v>
      </c>
      <c r="BU646" s="44">
        <v>2.7262527363337901E-16</v>
      </c>
      <c r="BV646">
        <v>3.6674101974215499E-3</v>
      </c>
      <c r="BW646">
        <v>0</v>
      </c>
      <c r="CA646" s="62"/>
      <c r="CF646" s="742">
        <v>0</v>
      </c>
      <c r="CG646" s="742">
        <v>0</v>
      </c>
      <c r="CH646" s="742">
        <v>0</v>
      </c>
      <c r="CI646" s="742">
        <v>1.44770979235838E-3</v>
      </c>
      <c r="CJ646" s="745">
        <v>6.2477084897091697E-9</v>
      </c>
      <c r="CK646" s="742">
        <v>3.6851484915552098E-4</v>
      </c>
    </row>
    <row r="647" spans="2:89">
      <c r="B647" s="61" t="s">
        <v>131</v>
      </c>
      <c r="D647">
        <v>1</v>
      </c>
      <c r="E647">
        <v>0</v>
      </c>
      <c r="F647">
        <v>0.77085386189980998</v>
      </c>
      <c r="G647">
        <v>0.77085386189980998</v>
      </c>
      <c r="H647">
        <v>0.70456161507437398</v>
      </c>
      <c r="I647">
        <v>0.70456161507437398</v>
      </c>
      <c r="J647">
        <v>0.70456161507437398</v>
      </c>
      <c r="K647">
        <v>0.70456161507437398</v>
      </c>
      <c r="L647">
        <v>0.70456161507437398</v>
      </c>
      <c r="M647">
        <v>0.70456161507437398</v>
      </c>
      <c r="N647">
        <v>0.70249557627598502</v>
      </c>
      <c r="O647">
        <v>4.7515288623536299E-4</v>
      </c>
      <c r="P647" s="44">
        <v>9.9543316067055194E-4</v>
      </c>
      <c r="Q647">
        <v>7.0833944382329701E-4</v>
      </c>
      <c r="R647">
        <v>1.05419915063755E-3</v>
      </c>
      <c r="S647">
        <v>1.56485215095663E-3</v>
      </c>
      <c r="T647">
        <v>0.70390635209218</v>
      </c>
      <c r="U647">
        <v>0.70390635209218</v>
      </c>
      <c r="V647">
        <v>2.7698229271386301E-3</v>
      </c>
      <c r="W647">
        <v>0.70464840781632898</v>
      </c>
      <c r="X647" s="44">
        <v>0.70464840781632898</v>
      </c>
      <c r="Y647" s="44">
        <v>1.0464682549828999E-2</v>
      </c>
      <c r="Z647">
        <v>1.0464682549828999E-2</v>
      </c>
      <c r="AA647" s="44">
        <v>2.9317690107239899E-8</v>
      </c>
      <c r="AB647" s="44">
        <v>1.6112558754093999E-8</v>
      </c>
      <c r="AC647">
        <v>0.50172827010771304</v>
      </c>
      <c r="AD647">
        <v>0.50158763091053404</v>
      </c>
      <c r="AE647" s="44">
        <v>0.70684550084003706</v>
      </c>
      <c r="AF647" s="44">
        <v>0.70684550084003706</v>
      </c>
      <c r="AG647" s="44">
        <v>0.83713775131784995</v>
      </c>
      <c r="AH647" s="44">
        <v>0.83713775131784995</v>
      </c>
      <c r="AI647" s="44">
        <v>5.2561886621354398E-4</v>
      </c>
      <c r="AJ647" s="44">
        <v>5.2561886621354398E-4</v>
      </c>
      <c r="AL647">
        <v>5.5637143460133002E-4</v>
      </c>
      <c r="AM647">
        <v>5.5559894708000299E-4</v>
      </c>
      <c r="AN647" s="44">
        <v>3.5141773593880598E-67</v>
      </c>
      <c r="AO647" s="44">
        <v>4.3509634169342497E-33</v>
      </c>
      <c r="AP647">
        <v>0.64721129963872803</v>
      </c>
      <c r="AQ647">
        <v>0.64721129963872703</v>
      </c>
      <c r="AR647">
        <v>0.23174682170918501</v>
      </c>
      <c r="AS647">
        <v>0.23174682170918501</v>
      </c>
      <c r="AT647">
        <v>0.23174682170918501</v>
      </c>
      <c r="AU647">
        <v>0.23174682170918501</v>
      </c>
      <c r="AV647">
        <v>0.23174682170918501</v>
      </c>
      <c r="AW647">
        <v>0.23174682170918501</v>
      </c>
      <c r="AX647">
        <v>0.23174682170918501</v>
      </c>
      <c r="AY647">
        <v>0.98812978427308096</v>
      </c>
      <c r="AZ647">
        <v>0.98812978427308096</v>
      </c>
      <c r="BA647">
        <v>0.98812978427308096</v>
      </c>
      <c r="BB647">
        <v>0.98812978427308096</v>
      </c>
      <c r="BC647">
        <v>0.98812978427308096</v>
      </c>
      <c r="BD647">
        <v>0.98812978427308096</v>
      </c>
      <c r="BE647" s="755">
        <v>0.98812978427308096</v>
      </c>
      <c r="BF647" s="755">
        <v>0.99562420832335596</v>
      </c>
      <c r="BH647" s="44">
        <v>0.99562420832335596</v>
      </c>
      <c r="BI647">
        <v>0.99562420832335596</v>
      </c>
      <c r="BJ647">
        <v>0.99562420832335596</v>
      </c>
      <c r="BK647" s="44">
        <v>1</v>
      </c>
      <c r="BL647" s="44">
        <v>0</v>
      </c>
      <c r="BM647">
        <v>0</v>
      </c>
      <c r="BN647">
        <v>0</v>
      </c>
      <c r="BO647" s="44">
        <v>0</v>
      </c>
      <c r="BP647" s="44">
        <v>0.78826097603739598</v>
      </c>
      <c r="BQ647" s="44">
        <v>0</v>
      </c>
      <c r="BR647">
        <v>0</v>
      </c>
      <c r="BS647">
        <v>1.0464682549828999E-2</v>
      </c>
      <c r="BT647">
        <v>0.23174682170918501</v>
      </c>
      <c r="BU647">
        <v>5.2561886621354398E-4</v>
      </c>
      <c r="BV647">
        <v>0.83713775131784995</v>
      </c>
      <c r="BW647">
        <v>0</v>
      </c>
      <c r="CA647" s="62"/>
      <c r="CF647" s="742">
        <v>0</v>
      </c>
      <c r="CG647" s="742">
        <v>0</v>
      </c>
      <c r="CH647" s="742">
        <v>0</v>
      </c>
      <c r="CI647" s="742">
        <v>0</v>
      </c>
      <c r="CJ647" s="742">
        <v>0</v>
      </c>
      <c r="CK647" s="742">
        <v>0</v>
      </c>
    </row>
    <row r="648" spans="2:89">
      <c r="B648" s="61" t="s">
        <v>133</v>
      </c>
      <c r="D648">
        <v>0</v>
      </c>
      <c r="E648">
        <v>0</v>
      </c>
      <c r="F648" s="44">
        <v>4.7477249213998701E-5</v>
      </c>
      <c r="G648" s="44">
        <v>4.7477249213998701E-5</v>
      </c>
      <c r="H648">
        <v>2.5899946895613099E-3</v>
      </c>
      <c r="I648">
        <v>2.5899946895613099E-3</v>
      </c>
      <c r="J648">
        <v>2.5899946895613099E-3</v>
      </c>
      <c r="K648">
        <v>2.5899946895613099E-3</v>
      </c>
      <c r="L648">
        <v>2.5899946895613099E-3</v>
      </c>
      <c r="M648">
        <v>2.5899946895613099E-3</v>
      </c>
      <c r="N648">
        <v>2.5825148195473E-3</v>
      </c>
      <c r="O648" s="44">
        <v>1.2153655163510001E-5</v>
      </c>
      <c r="P648" s="44">
        <v>2.4937387281400798E-5</v>
      </c>
      <c r="Q648" s="44">
        <v>1.7978224716673298E-5</v>
      </c>
      <c r="R648" s="44">
        <v>2.6450875713322101E-5</v>
      </c>
      <c r="S648" s="44">
        <v>3.8604428085592397E-5</v>
      </c>
      <c r="T648">
        <v>2.5876583229733499E-3</v>
      </c>
      <c r="U648">
        <v>2.5876583229733499E-3</v>
      </c>
      <c r="V648" s="44">
        <v>8.1299985464507803E-5</v>
      </c>
      <c r="W648">
        <v>2.5903109554832101E-3</v>
      </c>
      <c r="X648" s="44">
        <v>2.5903109554832101E-3</v>
      </c>
      <c r="Y648" s="44">
        <v>8.7828411550806005E-4</v>
      </c>
      <c r="Z648">
        <v>8.7828411550806005E-4</v>
      </c>
      <c r="AA648" s="44">
        <v>2.5024827179082202E-7</v>
      </c>
      <c r="AB648" s="44">
        <v>3.1457739973411402E-7</v>
      </c>
      <c r="AC648">
        <v>4.2097621063154497E-2</v>
      </c>
      <c r="AD648">
        <v>4.2082749705633797E-2</v>
      </c>
      <c r="AE648">
        <v>2.5983867031612001E-3</v>
      </c>
      <c r="AF648">
        <v>2.5983867031612001E-3</v>
      </c>
      <c r="AG648">
        <v>8.1214983923692495E-3</v>
      </c>
      <c r="AH648">
        <v>8.1214983923692495E-3</v>
      </c>
      <c r="AI648" s="44">
        <v>5.0992902705594097E-2</v>
      </c>
      <c r="AJ648" s="44">
        <v>5.0992902705594097E-2</v>
      </c>
      <c r="AL648">
        <v>5.6591984491082404E-4</v>
      </c>
      <c r="AM648" s="44">
        <v>5.3901419589210102E-5</v>
      </c>
      <c r="AN648">
        <v>0.91288428112879705</v>
      </c>
      <c r="AO648">
        <v>0.94406921631738105</v>
      </c>
      <c r="AP648" s="44">
        <v>7.0482299609374603E-5</v>
      </c>
      <c r="AQ648" s="44">
        <v>7.0482299609374603E-5</v>
      </c>
      <c r="AR648" s="44">
        <v>5.99472672226014E-8</v>
      </c>
      <c r="AS648" s="44">
        <v>5.99472672226014E-8</v>
      </c>
      <c r="AT648" s="44">
        <v>5.99472672226014E-8</v>
      </c>
      <c r="AU648" s="44">
        <v>5.99472672226014E-8</v>
      </c>
      <c r="AV648" s="44">
        <v>5.99472672226014E-8</v>
      </c>
      <c r="AW648" s="44">
        <v>5.99472672226014E-8</v>
      </c>
      <c r="AX648" s="44">
        <v>5.99472672226014E-8</v>
      </c>
      <c r="AY648">
        <v>1.28268904665794E-4</v>
      </c>
      <c r="AZ648">
        <v>1.28268904665794E-4</v>
      </c>
      <c r="BA648">
        <v>1.28268904665794E-4</v>
      </c>
      <c r="BB648">
        <v>1.28268904665794E-4</v>
      </c>
      <c r="BC648">
        <v>1.28268904665794E-4</v>
      </c>
      <c r="BD648">
        <v>1.28268904665794E-4</v>
      </c>
      <c r="BE648" s="755">
        <v>1.28268904665794E-4</v>
      </c>
      <c r="BF648" s="756">
        <v>8.5012978863645299E-9</v>
      </c>
      <c r="BH648" s="44">
        <v>8.5012978863645299E-9</v>
      </c>
      <c r="BI648" s="44">
        <v>8.5012978863645299E-9</v>
      </c>
      <c r="BJ648" s="44">
        <v>8.5012978863645299E-9</v>
      </c>
      <c r="BK648">
        <v>0</v>
      </c>
      <c r="BL648">
        <v>0</v>
      </c>
      <c r="BM648">
        <v>0</v>
      </c>
      <c r="BN648">
        <v>0</v>
      </c>
      <c r="BO648">
        <v>0</v>
      </c>
      <c r="BP648" s="44">
        <v>2.03903945793745E-7</v>
      </c>
      <c r="BQ648">
        <v>0</v>
      </c>
      <c r="BR648">
        <v>0</v>
      </c>
      <c r="BS648">
        <v>8.7828411550806005E-4</v>
      </c>
      <c r="BT648" s="44">
        <v>5.99472672226014E-8</v>
      </c>
      <c r="BU648">
        <v>5.0992902705594097E-2</v>
      </c>
      <c r="BV648">
        <v>8.1214983923692495E-3</v>
      </c>
      <c r="BW648">
        <v>0</v>
      </c>
      <c r="CA648" s="62"/>
      <c r="CF648" s="742">
        <v>0</v>
      </c>
      <c r="CG648" s="742">
        <v>0</v>
      </c>
      <c r="CH648" s="742">
        <v>0</v>
      </c>
      <c r="CI648" s="742">
        <v>0</v>
      </c>
      <c r="CJ648" s="742">
        <v>0</v>
      </c>
      <c r="CK648" s="742">
        <v>0</v>
      </c>
    </row>
    <row r="649" spans="2:89">
      <c r="B649" s="61" t="s">
        <v>134</v>
      </c>
      <c r="D649">
        <v>0</v>
      </c>
      <c r="E649">
        <v>0</v>
      </c>
      <c r="F649">
        <v>3.10792994340794E-3</v>
      </c>
      <c r="G649" s="44">
        <v>3.10792994340794E-3</v>
      </c>
      <c r="H649" s="44">
        <v>5.0287495055323497E-2</v>
      </c>
      <c r="I649">
        <v>5.0287495055323497E-2</v>
      </c>
      <c r="J649">
        <v>5.0287495055323497E-2</v>
      </c>
      <c r="K649">
        <v>5.0287495055323497E-2</v>
      </c>
      <c r="L649">
        <v>5.0287495055323497E-2</v>
      </c>
      <c r="M649">
        <v>5.0287495055323497E-2</v>
      </c>
      <c r="N649">
        <v>5.0141312766172799E-2</v>
      </c>
      <c r="O649">
        <v>1.5782517374021701E-4</v>
      </c>
      <c r="P649" s="44">
        <v>3.2593519330737598E-4</v>
      </c>
      <c r="Q649">
        <v>2.3402719938554501E-4</v>
      </c>
      <c r="R649">
        <v>3.4555351124170703E-4</v>
      </c>
      <c r="S649">
        <v>5.0699661316541504E-4</v>
      </c>
      <c r="T649">
        <v>5.02414956822336E-2</v>
      </c>
      <c r="U649">
        <v>5.02414956822336E-2</v>
      </c>
      <c r="V649">
        <v>1.03636181052677E-3</v>
      </c>
      <c r="W649">
        <v>5.0293572488573399E-2</v>
      </c>
      <c r="X649" s="44">
        <v>5.0293572488573399E-2</v>
      </c>
      <c r="Y649" s="44">
        <v>9.3009702363348705E-3</v>
      </c>
      <c r="Z649">
        <v>9.3009702363348601E-3</v>
      </c>
      <c r="AA649" s="44">
        <v>9.545860154757311E-7</v>
      </c>
      <c r="AB649" s="44">
        <v>9.4991518757366199E-7</v>
      </c>
      <c r="AC649">
        <v>0.44589059737169401</v>
      </c>
      <c r="AD649">
        <v>0.44576527870862098</v>
      </c>
      <c r="AE649">
        <v>5.0450384255171399E-2</v>
      </c>
      <c r="AF649">
        <v>5.0450384255171399E-2</v>
      </c>
      <c r="AG649" s="44">
        <v>0.15060772825961899</v>
      </c>
      <c r="AH649" s="44">
        <v>0.15060772825961899</v>
      </c>
      <c r="AI649">
        <v>0.94555801299935405</v>
      </c>
      <c r="AJ649">
        <v>0.94555801299935405</v>
      </c>
      <c r="AL649">
        <v>0.99887770872048798</v>
      </c>
      <c r="AM649" s="44">
        <v>0.99939049963333004</v>
      </c>
      <c r="AN649" s="44">
        <v>3.4224765694886902E-2</v>
      </c>
      <c r="AO649" s="44">
        <v>1.75233362032849E-3</v>
      </c>
      <c r="AP649" s="44">
        <v>4.6087997998689499E-3</v>
      </c>
      <c r="AQ649" s="44">
        <v>4.6087997998689499E-3</v>
      </c>
      <c r="AR649" s="44">
        <v>2.4155314013210099E-5</v>
      </c>
      <c r="AS649" s="44">
        <v>2.4155314013210099E-5</v>
      </c>
      <c r="AT649" s="44">
        <v>2.4155314013210099E-5</v>
      </c>
      <c r="AU649" s="44">
        <v>2.4155314013210099E-5</v>
      </c>
      <c r="AV649" s="44">
        <v>2.4155314013210099E-5</v>
      </c>
      <c r="AW649" s="44">
        <v>2.4155314013210099E-5</v>
      </c>
      <c r="AX649" s="44">
        <v>2.4155314013210099E-5</v>
      </c>
      <c r="AY649">
        <v>8.3708303610289508E-3</v>
      </c>
      <c r="AZ649">
        <v>8.3708303610289508E-3</v>
      </c>
      <c r="BA649" s="44">
        <v>8.3708303610289508E-3</v>
      </c>
      <c r="BB649">
        <v>8.3708303610289508E-3</v>
      </c>
      <c r="BC649">
        <v>8.3708303610289508E-3</v>
      </c>
      <c r="BD649">
        <v>8.3708303610289508E-3</v>
      </c>
      <c r="BE649" s="755">
        <v>8.3708303610289508E-3</v>
      </c>
      <c r="BF649" s="756">
        <v>1.36246877316866E-5</v>
      </c>
      <c r="BH649" s="44">
        <v>1.36246877316866E-5</v>
      </c>
      <c r="BI649" s="44">
        <v>1.36246877316866E-5</v>
      </c>
      <c r="BJ649" s="44">
        <v>1.36246877316866E-5</v>
      </c>
      <c r="BK649">
        <v>0</v>
      </c>
      <c r="BL649">
        <v>0</v>
      </c>
      <c r="BM649">
        <v>0</v>
      </c>
      <c r="BN649">
        <v>0</v>
      </c>
      <c r="BO649" s="44">
        <v>0</v>
      </c>
      <c r="BP649" s="44">
        <v>8.2161607482309398E-5</v>
      </c>
      <c r="BQ649" s="44">
        <v>0</v>
      </c>
      <c r="BR649" s="44">
        <v>0</v>
      </c>
      <c r="BS649">
        <v>9.3009702363348601E-3</v>
      </c>
      <c r="BT649" s="44">
        <v>2.4155314013210099E-5</v>
      </c>
      <c r="BU649">
        <v>0.94555801299935405</v>
      </c>
      <c r="BV649">
        <v>0.15060772825961899</v>
      </c>
      <c r="BW649">
        <v>0</v>
      </c>
      <c r="CA649" s="62"/>
      <c r="CF649" s="742">
        <v>0</v>
      </c>
      <c r="CG649" s="742">
        <v>0</v>
      </c>
      <c r="CH649" s="742">
        <v>0</v>
      </c>
      <c r="CI649" s="742">
        <v>0</v>
      </c>
      <c r="CJ649" s="742">
        <v>0</v>
      </c>
      <c r="CK649" s="742">
        <v>0</v>
      </c>
    </row>
    <row r="650" spans="2:89">
      <c r="B650" s="61" t="s">
        <v>135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 s="44">
        <v>0</v>
      </c>
      <c r="Y650" s="44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L650">
        <v>0</v>
      </c>
      <c r="AM650" s="44">
        <v>0</v>
      </c>
      <c r="AN650" s="44">
        <v>0</v>
      </c>
      <c r="AO650" s="44">
        <v>0</v>
      </c>
      <c r="AP650" s="44">
        <v>0</v>
      </c>
      <c r="AQ650" s="44">
        <v>0</v>
      </c>
      <c r="AR650" s="44">
        <v>0</v>
      </c>
      <c r="AS650" s="44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 s="755">
        <v>0</v>
      </c>
      <c r="BF650" s="755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CA650" s="62"/>
      <c r="CF650" s="742">
        <v>0</v>
      </c>
      <c r="CG650" s="742">
        <v>0</v>
      </c>
      <c r="CH650" s="742">
        <v>0</v>
      </c>
      <c r="CI650" s="742">
        <v>0</v>
      </c>
      <c r="CJ650" s="742">
        <v>0</v>
      </c>
      <c r="CK650" s="742">
        <v>0</v>
      </c>
    </row>
    <row r="651" spans="2:89">
      <c r="B651" s="61" t="s">
        <v>165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 s="755">
        <v>0</v>
      </c>
      <c r="BF651" s="755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CA651" s="62"/>
      <c r="CF651" s="742">
        <v>0</v>
      </c>
      <c r="CG651" s="742">
        <v>0</v>
      </c>
      <c r="CH651" s="742">
        <v>0</v>
      </c>
      <c r="CI651" s="742">
        <v>0</v>
      </c>
      <c r="CJ651" s="742">
        <v>0</v>
      </c>
      <c r="CK651" s="742">
        <v>0</v>
      </c>
    </row>
    <row r="652" spans="2:89">
      <c r="B652" s="61" t="s">
        <v>136</v>
      </c>
      <c r="D652">
        <v>0</v>
      </c>
      <c r="E652">
        <v>0</v>
      </c>
      <c r="F652" s="44">
        <v>4.4541957988015699E-11</v>
      </c>
      <c r="G652" s="44">
        <v>4.4541957988015699E-11</v>
      </c>
      <c r="H652" s="44">
        <v>3.0081931326319099E-3</v>
      </c>
      <c r="I652">
        <v>3.0081931326319099E-3</v>
      </c>
      <c r="J652">
        <v>3.0081931326319099E-3</v>
      </c>
      <c r="K652">
        <v>3.0081931326319099E-3</v>
      </c>
      <c r="L652">
        <v>3.0081931326319099E-3</v>
      </c>
      <c r="M652">
        <v>3.0081931326319099E-3</v>
      </c>
      <c r="N652">
        <v>3.0571295934826099E-3</v>
      </c>
      <c r="O652">
        <v>3.8933762669842598E-3</v>
      </c>
      <c r="P652" s="44">
        <v>7.5883458013123496E-3</v>
      </c>
      <c r="Q652">
        <v>5.6461225408109402E-3</v>
      </c>
      <c r="R652">
        <v>8.0734530863051605E-3</v>
      </c>
      <c r="S652">
        <v>1.13070473854265E-2</v>
      </c>
      <c r="T652">
        <v>3.0480169364052101E-3</v>
      </c>
      <c r="U652">
        <v>3.0480169364052101E-3</v>
      </c>
      <c r="V652">
        <v>4.0777495629141999E-2</v>
      </c>
      <c r="W652">
        <v>3.0080855186734E-3</v>
      </c>
      <c r="X652">
        <v>3.0080855186734E-3</v>
      </c>
      <c r="Y652">
        <v>0.90190182193610202</v>
      </c>
      <c r="Z652">
        <v>0.90190182193610202</v>
      </c>
      <c r="AA652">
        <v>0.92102769717079702</v>
      </c>
      <c r="AB652">
        <v>0.92102710101075103</v>
      </c>
      <c r="AC652">
        <v>4.0368019921736701E-3</v>
      </c>
      <c r="AD652">
        <v>4.3229546432144196E-3</v>
      </c>
      <c r="AE652">
        <v>1.4570131637237299E-4</v>
      </c>
      <c r="AF652">
        <v>1.4570131637237299E-4</v>
      </c>
      <c r="AG652" s="44">
        <v>4.6403783148217498E-4</v>
      </c>
      <c r="AH652" s="44">
        <v>4.6403783148217498E-4</v>
      </c>
      <c r="AI652">
        <v>2.9135826510817801E-3</v>
      </c>
      <c r="AJ652">
        <v>2.9135826510817801E-3</v>
      </c>
      <c r="AK652" s="44"/>
      <c r="AL652" s="44">
        <v>1.1468082212817901E-157</v>
      </c>
      <c r="AM652" s="44">
        <v>0</v>
      </c>
      <c r="AN652" s="44">
        <v>5.2712155257112502E-2</v>
      </c>
      <c r="AO652" s="44">
        <v>5.3995299758603198E-2</v>
      </c>
      <c r="AP652" s="44">
        <v>6.6127912060190901E-11</v>
      </c>
      <c r="AQ652" s="44">
        <v>6.6127912060190901E-11</v>
      </c>
      <c r="AR652" s="44">
        <v>1.6006492839531901E-20</v>
      </c>
      <c r="AS652" s="44">
        <v>1.6006492839531901E-20</v>
      </c>
      <c r="AT652" s="44">
        <v>1.6006492839531901E-20</v>
      </c>
      <c r="AU652" s="44">
        <v>1.6006492839531901E-20</v>
      </c>
      <c r="AV652" s="44">
        <v>1.6006492839531901E-20</v>
      </c>
      <c r="AW652" s="44">
        <v>1.6006492839531901E-20</v>
      </c>
      <c r="AX652" s="44">
        <v>1.6006492839531901E-20</v>
      </c>
      <c r="AY652" s="44">
        <v>1.20390619986483E-10</v>
      </c>
      <c r="AZ652" s="44">
        <v>1.20390619986483E-10</v>
      </c>
      <c r="BA652" s="44">
        <v>1.20390619986483E-10</v>
      </c>
      <c r="BB652" s="44">
        <v>1.20390619986483E-10</v>
      </c>
      <c r="BC652" s="44">
        <v>1.20390619986483E-10</v>
      </c>
      <c r="BD652" s="44">
        <v>1.20390619986483E-10</v>
      </c>
      <c r="BE652" s="756">
        <v>1.20390619986483E-10</v>
      </c>
      <c r="BF652" s="756">
        <v>8.0854619409287701E-26</v>
      </c>
      <c r="BH652" s="44">
        <v>8.0854619409287701E-26</v>
      </c>
      <c r="BI652" s="44">
        <v>8.0854619409287701E-26</v>
      </c>
      <c r="BJ652" s="44">
        <v>8.0854619409287701E-26</v>
      </c>
      <c r="BK652">
        <v>0</v>
      </c>
      <c r="BL652">
        <v>0</v>
      </c>
      <c r="BM652">
        <v>0</v>
      </c>
      <c r="BN652">
        <v>0</v>
      </c>
      <c r="BO652" s="44">
        <v>0</v>
      </c>
      <c r="BP652">
        <v>0</v>
      </c>
      <c r="BQ652" s="44">
        <v>0</v>
      </c>
      <c r="BR652" s="44">
        <v>0</v>
      </c>
      <c r="BS652">
        <v>0.90190182193610202</v>
      </c>
      <c r="BT652" s="44">
        <v>1.6006492839531901E-20</v>
      </c>
      <c r="BU652">
        <v>2.9135826510817801E-3</v>
      </c>
      <c r="BV652">
        <v>4.6403783148217498E-4</v>
      </c>
      <c r="BW652">
        <v>0</v>
      </c>
      <c r="CA652" s="62"/>
      <c r="CF652" s="742">
        <v>0</v>
      </c>
      <c r="CG652" s="742">
        <v>0</v>
      </c>
      <c r="CH652" s="742">
        <v>0</v>
      </c>
      <c r="CI652" s="742">
        <v>0</v>
      </c>
      <c r="CJ652" s="742">
        <v>0</v>
      </c>
      <c r="CK652" s="742">
        <v>0</v>
      </c>
    </row>
    <row r="653" spans="2:89">
      <c r="B653" s="61" t="s">
        <v>797</v>
      </c>
      <c r="D653">
        <v>0</v>
      </c>
      <c r="E653">
        <v>0</v>
      </c>
      <c r="F653" s="44">
        <v>6.5743199779588196E-14</v>
      </c>
      <c r="G653" s="44">
        <v>6.5743199779588196E-14</v>
      </c>
      <c r="H653" s="44">
        <v>5.5519160283881499E-5</v>
      </c>
      <c r="I653" s="44">
        <v>5.5519160283881499E-5</v>
      </c>
      <c r="J653" s="44">
        <v>5.5519160283881499E-5</v>
      </c>
      <c r="K653" s="44">
        <v>5.5519160283881499E-5</v>
      </c>
      <c r="L653" s="44">
        <v>5.5519160283881499E-5</v>
      </c>
      <c r="M653" s="44">
        <v>5.5519160283881499E-5</v>
      </c>
      <c r="N653" s="44">
        <v>5.8499748256936402E-5</v>
      </c>
      <c r="O653">
        <v>2.19774677537921E-4</v>
      </c>
      <c r="P653">
        <v>4.10455047276155E-4</v>
      </c>
      <c r="Q653">
        <v>3.1325065787722698E-4</v>
      </c>
      <c r="R653">
        <v>4.3739402296146999E-4</v>
      </c>
      <c r="S653">
        <v>5.9251239712474401E-4</v>
      </c>
      <c r="T653" s="44">
        <v>5.77919365349988E-5</v>
      </c>
      <c r="U653" s="44">
        <v>5.77919365349988E-5</v>
      </c>
      <c r="V653">
        <v>2.2242973448453199E-3</v>
      </c>
      <c r="W653" s="44">
        <v>5.5498991191598101E-5</v>
      </c>
      <c r="X653" s="44">
        <v>5.5498991191598101E-5</v>
      </c>
      <c r="Y653">
        <v>1.7327776030670299E-2</v>
      </c>
      <c r="Z653">
        <v>1.7327776030670299E-2</v>
      </c>
      <c r="AA653">
        <v>1.76968077591107E-2</v>
      </c>
      <c r="AB653">
        <v>1.7696989884076999E-2</v>
      </c>
      <c r="AC653" s="44">
        <v>3.5659670677262299E-6</v>
      </c>
      <c r="AD653">
        <v>0</v>
      </c>
      <c r="AE653" s="44">
        <v>4.9322172983918301E-7</v>
      </c>
      <c r="AF653" s="44">
        <v>4.9322172983918301E-7</v>
      </c>
      <c r="AG653" s="44">
        <v>1.5708408670749399E-6</v>
      </c>
      <c r="AH653" s="44">
        <v>1.5708408670749399E-6</v>
      </c>
      <c r="AI653" s="44">
        <v>9.8629344148540893E-6</v>
      </c>
      <c r="AJ653" s="44">
        <v>9.8629344148540893E-6</v>
      </c>
      <c r="AK653" s="44"/>
      <c r="AL653" s="44">
        <v>5.5180869991614803E-218</v>
      </c>
      <c r="AM653" s="44">
        <v>0</v>
      </c>
      <c r="AN653" s="44">
        <v>1.78438916079307E-4</v>
      </c>
      <c r="AO653" s="44">
        <v>1.82782561542148E-4</v>
      </c>
      <c r="AP653" s="44">
        <v>9.7603714114957704E-14</v>
      </c>
      <c r="AQ653" s="44">
        <v>9.7603714114957704E-14</v>
      </c>
      <c r="AR653" s="44">
        <v>2.64466033587466E-23</v>
      </c>
      <c r="AS653" s="44">
        <v>2.64466033587466E-23</v>
      </c>
      <c r="AT653" s="44">
        <v>2.64466033587466E-23</v>
      </c>
      <c r="AU653" s="44">
        <v>2.64466033587466E-23</v>
      </c>
      <c r="AV653" s="44">
        <v>2.64466033587466E-23</v>
      </c>
      <c r="AW653" s="44">
        <v>2.64466033587466E-23</v>
      </c>
      <c r="AX653" s="44">
        <v>2.64466033587466E-23</v>
      </c>
      <c r="AY653" s="44">
        <v>1.7769458144141099E-13</v>
      </c>
      <c r="AZ653" s="44">
        <v>1.7769458144141099E-13</v>
      </c>
      <c r="BA653" s="44">
        <v>1.7769458144141099E-13</v>
      </c>
      <c r="BB653" s="44">
        <v>1.7769458144141099E-13</v>
      </c>
      <c r="BC653" s="44">
        <v>1.7769458144141099E-13</v>
      </c>
      <c r="BD653" s="44">
        <v>1.7769458144141099E-13</v>
      </c>
      <c r="BE653" s="756">
        <v>1.7769458144141099E-13</v>
      </c>
      <c r="BF653" s="756">
        <v>5.8229906182231502E-30</v>
      </c>
      <c r="BH653" s="44">
        <v>5.8229906182231502E-30</v>
      </c>
      <c r="BI653" s="44">
        <v>5.8229906182231502E-30</v>
      </c>
      <c r="BJ653" s="44">
        <v>5.8229906182231502E-30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 s="44">
        <v>0</v>
      </c>
      <c r="BS653">
        <v>1.7327776030670299E-2</v>
      </c>
      <c r="BT653" s="44">
        <v>2.64466033587466E-23</v>
      </c>
      <c r="BU653" s="44">
        <v>9.8629344148540893E-6</v>
      </c>
      <c r="BV653" s="44">
        <v>1.5708408670749399E-6</v>
      </c>
      <c r="BW653">
        <v>0</v>
      </c>
      <c r="CA653" s="62"/>
      <c r="CF653" s="742">
        <v>0</v>
      </c>
      <c r="CG653" s="742">
        <v>0</v>
      </c>
      <c r="CH653" s="742">
        <v>0</v>
      </c>
      <c r="CI653" s="742">
        <v>0</v>
      </c>
      <c r="CJ653" s="742">
        <v>0</v>
      </c>
      <c r="CK653" s="742">
        <v>0</v>
      </c>
    </row>
    <row r="654" spans="2:89">
      <c r="B654" s="61" t="s">
        <v>137</v>
      </c>
      <c r="D654">
        <v>0</v>
      </c>
      <c r="E654">
        <v>0</v>
      </c>
      <c r="F654" s="44">
        <v>1.49320687115229E-51</v>
      </c>
      <c r="G654" s="44">
        <v>1.49320687115229E-51</v>
      </c>
      <c r="H654" s="44">
        <v>3.1300435349581701E-4</v>
      </c>
      <c r="I654">
        <v>3.1300435349581701E-4</v>
      </c>
      <c r="J654">
        <v>3.1300435349581701E-4</v>
      </c>
      <c r="K654">
        <v>3.1300435349581701E-4</v>
      </c>
      <c r="L654">
        <v>3.1300435349581701E-4</v>
      </c>
      <c r="M654">
        <v>3.1300435349581701E-4</v>
      </c>
      <c r="N654">
        <v>3.1835873322761002E-3</v>
      </c>
      <c r="O654">
        <v>0.99521716082999301</v>
      </c>
      <c r="P654">
        <v>0.99060250573187203</v>
      </c>
      <c r="Q654">
        <v>0.99304342601783202</v>
      </c>
      <c r="R654">
        <v>0.99000754871132302</v>
      </c>
      <c r="S654">
        <v>0.98590654027298896</v>
      </c>
      <c r="T654">
        <v>1.1978048000800699E-3</v>
      </c>
      <c r="U654">
        <v>1.1978048000800699E-3</v>
      </c>
      <c r="V654">
        <v>0.95299475866243999</v>
      </c>
      <c r="W654">
        <v>1.90459798839659E-4</v>
      </c>
      <c r="X654">
        <v>1.90459798839659E-4</v>
      </c>
      <c r="Y654">
        <v>5.9996250543052701E-2</v>
      </c>
      <c r="Z654" s="44">
        <v>5.9996250543052701E-2</v>
      </c>
      <c r="AA654">
        <v>6.1274260902002102E-2</v>
      </c>
      <c r="AB654" s="44">
        <v>6.1274628496099999E-2</v>
      </c>
      <c r="AC654" s="44">
        <v>3.1419735618111601E-10</v>
      </c>
      <c r="AD654" s="44">
        <v>0</v>
      </c>
      <c r="AE654" s="44">
        <v>9.9231783016919503E-10</v>
      </c>
      <c r="AF654" s="44">
        <v>9.9231783016919503E-10</v>
      </c>
      <c r="AG654" s="44">
        <v>3.1603911954096398E-9</v>
      </c>
      <c r="AH654" s="44">
        <v>3.1603911954096398E-9</v>
      </c>
      <c r="AI654" s="44">
        <v>1.9843341065890799E-8</v>
      </c>
      <c r="AJ654" s="44">
        <v>1.9843341065890799E-8</v>
      </c>
      <c r="AK654" s="44"/>
      <c r="AL654" s="44">
        <v>0</v>
      </c>
      <c r="AM654" s="44">
        <v>0</v>
      </c>
      <c r="AN654" s="44">
        <v>3.5900312445116599E-7</v>
      </c>
      <c r="AO654" s="44">
        <v>3.6774215025860202E-7</v>
      </c>
      <c r="AP654" s="44">
        <v>4.1532302430176998E-22</v>
      </c>
      <c r="AQ654" s="44">
        <v>4.1532302430176998E-22</v>
      </c>
      <c r="AR654" s="44">
        <v>0</v>
      </c>
      <c r="AS654" s="44">
        <v>0</v>
      </c>
      <c r="AT654" s="44">
        <v>0</v>
      </c>
      <c r="AU654" s="44">
        <v>0</v>
      </c>
      <c r="AV654" s="44">
        <v>0</v>
      </c>
      <c r="AW654" s="44">
        <v>0</v>
      </c>
      <c r="AX654" s="44">
        <v>0</v>
      </c>
      <c r="AY654" s="44">
        <v>0</v>
      </c>
      <c r="AZ654" s="44">
        <v>0</v>
      </c>
      <c r="BA654" s="44">
        <v>0</v>
      </c>
      <c r="BB654">
        <v>0</v>
      </c>
      <c r="BC654">
        <v>0</v>
      </c>
      <c r="BD654">
        <v>0</v>
      </c>
      <c r="BE654" s="755">
        <v>0</v>
      </c>
      <c r="BF654" s="756">
        <v>5.7610363788766496E-51</v>
      </c>
      <c r="BH654" s="44">
        <v>5.7610363788766496E-51</v>
      </c>
      <c r="BI654" s="44">
        <v>5.7610363788766496E-51</v>
      </c>
      <c r="BJ654" s="44">
        <v>5.7610363788766496E-51</v>
      </c>
      <c r="BK654" s="44">
        <v>0</v>
      </c>
      <c r="BL654" s="44">
        <v>0</v>
      </c>
      <c r="BM654" s="44">
        <v>0</v>
      </c>
      <c r="BN654" s="44">
        <v>0</v>
      </c>
      <c r="BO654">
        <v>0</v>
      </c>
      <c r="BP654">
        <v>0</v>
      </c>
      <c r="BQ654">
        <v>0</v>
      </c>
      <c r="BR654" s="44">
        <v>0</v>
      </c>
      <c r="BS654">
        <v>5.9996250543052701E-2</v>
      </c>
      <c r="BT654">
        <v>0</v>
      </c>
      <c r="BU654" s="44">
        <v>1.9843341065890799E-8</v>
      </c>
      <c r="BV654" s="44">
        <v>3.1603911954096398E-9</v>
      </c>
      <c r="BW654">
        <v>0</v>
      </c>
      <c r="CA654" s="62"/>
      <c r="CF654" s="742">
        <v>0</v>
      </c>
      <c r="CG654" s="742">
        <v>0</v>
      </c>
      <c r="CH654" s="742">
        <v>0</v>
      </c>
      <c r="CI654" s="742">
        <v>0</v>
      </c>
      <c r="CJ654" s="742">
        <v>0</v>
      </c>
      <c r="CK654" s="742">
        <v>0</v>
      </c>
    </row>
    <row r="655" spans="2:89">
      <c r="B655" s="61" t="s">
        <v>91</v>
      </c>
      <c r="D655">
        <v>0</v>
      </c>
      <c r="E655">
        <v>0</v>
      </c>
      <c r="F655">
        <v>0</v>
      </c>
      <c r="G655" s="44">
        <v>0</v>
      </c>
      <c r="H655" s="44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 s="44">
        <v>0</v>
      </c>
      <c r="AA655">
        <v>0</v>
      </c>
      <c r="AB655" s="44">
        <v>0</v>
      </c>
      <c r="AC655" s="44">
        <v>0</v>
      </c>
      <c r="AD655" s="44">
        <v>0</v>
      </c>
      <c r="AE655" s="44">
        <v>0</v>
      </c>
      <c r="AF655" s="44">
        <v>0</v>
      </c>
      <c r="AG655">
        <v>0</v>
      </c>
      <c r="AH655" s="44">
        <v>0</v>
      </c>
      <c r="AI655" s="44">
        <v>0</v>
      </c>
      <c r="AJ655" s="44">
        <v>0</v>
      </c>
      <c r="AK655" s="44"/>
      <c r="AL655" s="44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 s="44">
        <v>0</v>
      </c>
      <c r="BB655">
        <v>0</v>
      </c>
      <c r="BC655">
        <v>0</v>
      </c>
      <c r="BD655">
        <v>0</v>
      </c>
      <c r="BE655" s="755">
        <v>0</v>
      </c>
      <c r="BF655" s="755">
        <v>0</v>
      </c>
      <c r="BH655">
        <v>0</v>
      </c>
      <c r="BI655">
        <v>0</v>
      </c>
      <c r="BJ655">
        <v>0</v>
      </c>
      <c r="BK655" s="44">
        <v>0</v>
      </c>
      <c r="BL655" s="44">
        <v>0</v>
      </c>
      <c r="BM655" s="44">
        <v>0</v>
      </c>
      <c r="BN655" s="44">
        <v>0</v>
      </c>
      <c r="BO655">
        <v>0</v>
      </c>
      <c r="BP655">
        <v>0</v>
      </c>
      <c r="BQ655">
        <v>0</v>
      </c>
      <c r="BR655" s="44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CA655" s="62"/>
      <c r="CF655" s="742">
        <v>0</v>
      </c>
      <c r="CG655" s="742">
        <v>0</v>
      </c>
      <c r="CH655" s="742">
        <v>0</v>
      </c>
      <c r="CI655" s="742">
        <v>0</v>
      </c>
      <c r="CJ655" s="742">
        <v>0</v>
      </c>
      <c r="CK655" s="742">
        <v>0</v>
      </c>
    </row>
    <row r="656" spans="2:89">
      <c r="B656" s="61" t="s">
        <v>166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 s="755">
        <v>0</v>
      </c>
      <c r="BF656" s="755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0.11626125035825199</v>
      </c>
      <c r="BN656">
        <v>0</v>
      </c>
      <c r="BO656">
        <v>0</v>
      </c>
      <c r="BP656">
        <v>0</v>
      </c>
      <c r="BQ656">
        <v>1</v>
      </c>
      <c r="BR656">
        <v>1</v>
      </c>
      <c r="BS656">
        <v>0</v>
      </c>
      <c r="BT656">
        <v>0</v>
      </c>
      <c r="BU656">
        <v>0</v>
      </c>
      <c r="BV656">
        <v>0</v>
      </c>
      <c r="BW656">
        <v>1</v>
      </c>
      <c r="CA656" s="62"/>
      <c r="CF656" s="742">
        <v>0</v>
      </c>
      <c r="CG656" s="742">
        <v>0</v>
      </c>
      <c r="CH656" s="742">
        <v>0</v>
      </c>
      <c r="CI656" s="742">
        <v>0</v>
      </c>
      <c r="CJ656" s="742">
        <v>0</v>
      </c>
      <c r="CK656" s="742">
        <v>0</v>
      </c>
    </row>
    <row r="657" spans="2:89">
      <c r="B657" s="61" t="s">
        <v>167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 s="755">
        <v>0</v>
      </c>
      <c r="BF657" s="755">
        <v>0</v>
      </c>
      <c r="BH657">
        <v>0</v>
      </c>
      <c r="BI657">
        <v>0</v>
      </c>
      <c r="BJ657">
        <v>0</v>
      </c>
      <c r="BK657">
        <v>0</v>
      </c>
      <c r="BL657">
        <v>0.22213256368918299</v>
      </c>
      <c r="BM657">
        <v>4.1300723585352599E-3</v>
      </c>
      <c r="BN657">
        <v>4.0014931434925504E-3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CA657" s="62"/>
      <c r="CF657" s="742">
        <v>0.36388067134561602</v>
      </c>
      <c r="CG657" s="745">
        <v>1.47950681303388E-2</v>
      </c>
      <c r="CH657" s="742">
        <v>0.99898926383293996</v>
      </c>
      <c r="CI657" s="742">
        <v>0.99855229020764202</v>
      </c>
      <c r="CJ657" s="742">
        <v>5.1012092154164697E-2</v>
      </c>
      <c r="CK657" s="742">
        <v>0.189644251955979</v>
      </c>
    </row>
    <row r="658" spans="2:89">
      <c r="B658" s="61" t="s">
        <v>168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 s="755">
        <v>0</v>
      </c>
      <c r="BF658" s="755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0.14200818349802499</v>
      </c>
      <c r="BN658">
        <v>0.27517424551307701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CA658" s="62"/>
      <c r="CF658" s="742">
        <v>1.36460489217105E-2</v>
      </c>
      <c r="CG658" s="742">
        <v>2.11459482589661E-2</v>
      </c>
      <c r="CH658" s="745">
        <v>1.0378608421686501E-6</v>
      </c>
      <c r="CI658" s="742">
        <v>0</v>
      </c>
      <c r="CJ658" s="745">
        <v>3.8875131905442799E-6</v>
      </c>
      <c r="CK658" s="742">
        <v>5.9885861833537897E-2</v>
      </c>
    </row>
    <row r="659" spans="2:89">
      <c r="B659" s="61" t="s">
        <v>849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 s="755">
        <v>0</v>
      </c>
      <c r="BF659" s="755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CA659" s="62"/>
      <c r="CF659" s="753">
        <v>0.49394521070627501</v>
      </c>
      <c r="CG659" s="753">
        <v>0.76488896816649699</v>
      </c>
      <c r="CH659" s="753">
        <v>9.9688514411832305E-4</v>
      </c>
      <c r="CI659" s="753">
        <v>0</v>
      </c>
      <c r="CJ659" s="753">
        <v>0.94896336402945203</v>
      </c>
      <c r="CK659" s="753">
        <v>0.18601351833149399</v>
      </c>
    </row>
    <row r="660" spans="2:89">
      <c r="B660" s="61" t="s">
        <v>850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 s="755">
        <v>0</v>
      </c>
      <c r="BF660" s="755">
        <v>0</v>
      </c>
      <c r="BH660">
        <v>0</v>
      </c>
      <c r="BI660">
        <v>0</v>
      </c>
      <c r="BJ660">
        <v>0</v>
      </c>
      <c r="BK660">
        <v>0</v>
      </c>
      <c r="BL660">
        <v>0.77786743631081701</v>
      </c>
      <c r="BM660">
        <v>0.73760049378518799</v>
      </c>
      <c r="BN660">
        <v>0.71463719332144904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CA660" s="62"/>
      <c r="CF660" s="742">
        <v>0</v>
      </c>
      <c r="CG660" s="742">
        <v>0</v>
      </c>
      <c r="CH660" s="742">
        <v>0</v>
      </c>
      <c r="CI660" s="742">
        <v>0</v>
      </c>
      <c r="CJ660" s="742">
        <v>0</v>
      </c>
      <c r="CK660" s="742">
        <v>0</v>
      </c>
    </row>
    <row r="661" spans="2:89">
      <c r="B661" s="61" t="s">
        <v>1089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 s="755">
        <v>0</v>
      </c>
      <c r="BF661" s="756">
        <v>0</v>
      </c>
      <c r="BG661" s="44"/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6.1870680219820399E-3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CA661" s="62"/>
      <c r="CF661" s="742">
        <v>0.12852806902639899</v>
      </c>
      <c r="CG661" s="742">
        <v>0.19917001544419799</v>
      </c>
      <c r="CH661" s="745">
        <v>4.9919973597437704E-6</v>
      </c>
      <c r="CI661" s="742">
        <v>0</v>
      </c>
      <c r="CJ661" s="745">
        <v>2.0650055483888999E-5</v>
      </c>
      <c r="CK661" s="742">
        <v>0.564087853029834</v>
      </c>
    </row>
    <row r="662" spans="2:89">
      <c r="B662" s="61" t="s">
        <v>121</v>
      </c>
      <c r="C662" t="s">
        <v>122</v>
      </c>
      <c r="D662">
        <v>327437.64971695602</v>
      </c>
      <c r="E662" s="44">
        <v>8.96023087444583E-7</v>
      </c>
      <c r="F662" s="44">
        <v>9035955.5742790103</v>
      </c>
      <c r="G662">
        <v>33848874.730871901</v>
      </c>
      <c r="H662">
        <v>54605979.911164299</v>
      </c>
      <c r="I662">
        <v>34764692.831472002</v>
      </c>
      <c r="J662">
        <v>33769580.889746398</v>
      </c>
      <c r="K662">
        <v>26138081.4480156</v>
      </c>
      <c r="L662">
        <v>11204695.8568822</v>
      </c>
      <c r="M662">
        <v>1922695.1662238101</v>
      </c>
      <c r="N662">
        <v>1922801.5649956099</v>
      </c>
      <c r="O662">
        <v>0.346117509307241</v>
      </c>
      <c r="P662">
        <v>5.91137428298551</v>
      </c>
      <c r="Q662">
        <v>2.7007107416600702</v>
      </c>
      <c r="R662">
        <v>1.7955106267334799</v>
      </c>
      <c r="S662">
        <v>1.1791588746064401</v>
      </c>
      <c r="T662">
        <v>384715.33192014502</v>
      </c>
      <c r="U662">
        <v>354981.20457011001</v>
      </c>
      <c r="V662">
        <v>2.9679708573460202</v>
      </c>
      <c r="W662">
        <v>354978.23659925302</v>
      </c>
      <c r="X662">
        <v>282025.691604394</v>
      </c>
      <c r="Y662">
        <v>9.1323772149809805</v>
      </c>
      <c r="Z662">
        <v>9.1323771763070791</v>
      </c>
      <c r="AA662">
        <v>15.868917932288101</v>
      </c>
      <c r="AB662">
        <v>15.868823012578</v>
      </c>
      <c r="AC662">
        <v>5.5841512554091004</v>
      </c>
      <c r="AD662">
        <v>5.6253205637528003</v>
      </c>
      <c r="AE662">
        <v>244273.106138175</v>
      </c>
      <c r="AF662">
        <v>165765.90786908101</v>
      </c>
      <c r="AG662">
        <v>1886.1654374165701</v>
      </c>
      <c r="AH662">
        <v>1886.1654374165701</v>
      </c>
      <c r="AI662">
        <v>264.76573802452401</v>
      </c>
      <c r="AJ662">
        <v>264.76573802452401</v>
      </c>
      <c r="AL662">
        <v>208.269942314481</v>
      </c>
      <c r="AM662">
        <v>208.55472763750799</v>
      </c>
      <c r="AN662">
        <v>12.4230117843932</v>
      </c>
      <c r="AO662">
        <v>12.1482060216271</v>
      </c>
      <c r="AP662">
        <v>137599.51907269101</v>
      </c>
      <c r="AQ662">
        <v>115452.67110361101</v>
      </c>
      <c r="AR662">
        <v>93935.769338767204</v>
      </c>
      <c r="AS662">
        <v>105104.05067522801</v>
      </c>
      <c r="AT662">
        <v>151294.868576935</v>
      </c>
      <c r="AU662">
        <v>213346.066902747</v>
      </c>
      <c r="AV662">
        <v>245216.936199577</v>
      </c>
      <c r="AW662">
        <v>232940.67352096899</v>
      </c>
      <c r="AX662">
        <v>12276.2626786079</v>
      </c>
      <c r="AY662">
        <v>2146.55016765865</v>
      </c>
      <c r="AZ662">
        <v>30880.9368731996</v>
      </c>
      <c r="BA662">
        <v>341130.03449257399</v>
      </c>
      <c r="BB662">
        <v>787877.244373856</v>
      </c>
      <c r="BC662">
        <v>1180116.67521201</v>
      </c>
      <c r="BD662">
        <v>5900.5833760600199</v>
      </c>
      <c r="BE662" s="755">
        <v>1174216.09183594</v>
      </c>
      <c r="BF662" s="755">
        <v>47253.671941069799</v>
      </c>
      <c r="BH662">
        <v>71144.423587213096</v>
      </c>
      <c r="BI662">
        <v>70788.701469277003</v>
      </c>
      <c r="BJ662">
        <v>355.72211793606601</v>
      </c>
      <c r="BK662">
        <v>547045.22960150405</v>
      </c>
      <c r="BL662">
        <v>5589361.2880021604</v>
      </c>
      <c r="BM662">
        <v>22942284.827336401</v>
      </c>
      <c r="BN662">
        <v>877100.24153009499</v>
      </c>
      <c r="BO662">
        <v>12556.309640764001</v>
      </c>
      <c r="BP662">
        <v>1605.46040983787</v>
      </c>
      <c r="BQ662">
        <v>1309.0590191282299</v>
      </c>
      <c r="BR662">
        <v>298055.00972579798</v>
      </c>
      <c r="BS662">
        <v>9.1323771763070791</v>
      </c>
      <c r="BT662">
        <v>14167.619420814701</v>
      </c>
      <c r="BU662">
        <v>264.76573802452401</v>
      </c>
      <c r="BV662">
        <v>1886.1654374165701</v>
      </c>
      <c r="BW662">
        <v>390373.41671790101</v>
      </c>
      <c r="CA662" s="62"/>
      <c r="CF662" s="742">
        <v>44014014.293645903</v>
      </c>
      <c r="CG662" s="742">
        <v>5940938.0363626396</v>
      </c>
      <c r="CH662" s="742">
        <v>5172.5243422155099</v>
      </c>
      <c r="CI662" s="742">
        <v>849.537985314514</v>
      </c>
      <c r="CJ662" s="742">
        <v>2452619.67626449</v>
      </c>
      <c r="CK662" s="742">
        <v>3473929.9451501602</v>
      </c>
    </row>
    <row r="663" spans="2:89">
      <c r="B663" s="61" t="s">
        <v>89</v>
      </c>
      <c r="BC663"/>
      <c r="BD663"/>
      <c r="BE663" s="755"/>
      <c r="BF663" s="755"/>
      <c r="CA663" s="62"/>
    </row>
    <row r="664" spans="2:89">
      <c r="B664" s="61" t="s">
        <v>123</v>
      </c>
      <c r="BC664"/>
      <c r="BD664"/>
      <c r="BE664" s="755"/>
      <c r="BF664" s="755"/>
      <c r="CA664" s="62"/>
    </row>
    <row r="665" spans="2:89" ht="17.25" thickBot="1">
      <c r="B665" s="74" t="s">
        <v>124</v>
      </c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  <c r="AC665" s="75"/>
      <c r="AD665" s="75"/>
      <c r="AE665" s="75"/>
      <c r="AF665" s="75"/>
      <c r="AG665" s="75"/>
      <c r="AH665" s="75"/>
      <c r="AI665" s="75"/>
      <c r="AJ665" s="75"/>
      <c r="AK665" s="75"/>
      <c r="AL665" s="75"/>
      <c r="AM665" s="75"/>
      <c r="AN665" s="75"/>
      <c r="AO665" s="75"/>
      <c r="AP665" s="75"/>
      <c r="AQ665" s="75"/>
      <c r="AR665" s="75"/>
      <c r="AS665" s="75"/>
      <c r="AT665" s="75"/>
      <c r="AU665" s="75"/>
      <c r="AV665" s="75"/>
      <c r="AW665" s="75"/>
      <c r="AX665" s="75"/>
      <c r="AY665" s="75"/>
      <c r="AZ665" s="75"/>
      <c r="BA665" s="75"/>
      <c r="BB665" s="75"/>
      <c r="BC665" s="75"/>
      <c r="BD665" s="75"/>
      <c r="BE665" s="757"/>
      <c r="BF665" s="757"/>
      <c r="BG665" s="75"/>
      <c r="BH665" s="75"/>
      <c r="BI665" s="75"/>
      <c r="BJ665" s="75"/>
      <c r="BK665" s="75"/>
      <c r="BL665" s="75"/>
      <c r="BM665" s="75"/>
      <c r="BN665" s="75"/>
      <c r="BO665" s="75"/>
      <c r="BP665" s="75"/>
      <c r="BQ665" s="75"/>
      <c r="BR665" s="75"/>
      <c r="BS665" s="75"/>
      <c r="BT665" s="75"/>
      <c r="BU665" s="75"/>
      <c r="BV665" s="75"/>
      <c r="BW665" s="75"/>
      <c r="BX665" s="75"/>
      <c r="BY665" s="75"/>
      <c r="BZ665" s="75"/>
      <c r="CA665" s="76"/>
    </row>
  </sheetData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4763-32C4-4958-AA47-68A9B72A09E9}">
  <dimension ref="A1:EH181"/>
  <sheetViews>
    <sheetView zoomScale="55" zoomScaleNormal="55" workbookViewId="0">
      <selection activeCell="D4" sqref="D4"/>
    </sheetView>
  </sheetViews>
  <sheetFormatPr defaultColWidth="9.125" defaultRowHeight="16.5"/>
  <cols>
    <col min="1" max="1" width="12.875" style="289" customWidth="1"/>
    <col min="2" max="2" width="33" style="289" customWidth="1"/>
    <col min="3" max="3" width="7.75" style="289" customWidth="1"/>
    <col min="4" max="4" width="10.25" style="289" customWidth="1"/>
    <col min="5" max="5" width="11.125" style="289" customWidth="1"/>
    <col min="6" max="7" width="10.5" style="289" customWidth="1"/>
    <col min="8" max="8" width="13.125" style="289" bestFit="1" customWidth="1"/>
    <col min="9" max="9" width="17.875" style="289" customWidth="1"/>
    <col min="10" max="11" width="12.125" style="289" bestFit="1" customWidth="1"/>
    <col min="12" max="12" width="33.5" style="289" customWidth="1"/>
    <col min="13" max="16" width="13" style="289" bestFit="1" customWidth="1"/>
    <col min="17" max="17" width="12.75" style="289" bestFit="1" customWidth="1"/>
    <col min="18" max="18" width="11.125" style="289" customWidth="1"/>
    <col min="19" max="19" width="18.75" style="289" customWidth="1"/>
    <col min="20" max="21" width="11.375" style="289" bestFit="1" customWidth="1"/>
    <col min="22" max="22" width="33.5" style="289" customWidth="1"/>
    <col min="23" max="23" width="20.375" style="289" bestFit="1" customWidth="1"/>
    <col min="24" max="24" width="13" style="289" customWidth="1"/>
    <col min="25" max="25" width="11.125" style="289" customWidth="1"/>
    <col min="26" max="26" width="13" style="289" customWidth="1"/>
    <col min="27" max="27" width="11.875" style="289" customWidth="1"/>
    <col min="28" max="28" width="12" style="289" customWidth="1"/>
    <col min="29" max="29" width="18.75" style="289" customWidth="1"/>
    <col min="30" max="30" width="9.125" style="289"/>
    <col min="31" max="31" width="10" style="289" customWidth="1"/>
    <col min="32" max="32" width="18.5" style="289" customWidth="1"/>
    <col min="33" max="33" width="9.125" style="289"/>
    <col min="34" max="34" width="13.5" style="289" customWidth="1"/>
    <col min="35" max="35" width="11.875" style="289" customWidth="1"/>
    <col min="36" max="36" width="13" style="289" customWidth="1"/>
    <col min="37" max="37" width="12.75" style="289" customWidth="1"/>
    <col min="38" max="38" width="12.5" style="289" customWidth="1"/>
    <col min="39" max="39" width="15" style="289" customWidth="1"/>
    <col min="40" max="40" width="15.5" style="289" customWidth="1"/>
    <col min="41" max="41" width="17.25" style="289" customWidth="1"/>
    <col min="42" max="42" width="68.5" style="289" bestFit="1" customWidth="1"/>
    <col min="43" max="43" width="13.5" style="289" customWidth="1"/>
    <col min="44" max="44" width="19.25" style="289" bestFit="1" customWidth="1"/>
    <col min="45" max="45" width="13.875" style="289" bestFit="1" customWidth="1"/>
    <col min="46" max="46" width="13.5" style="289" customWidth="1"/>
    <col min="47" max="48" width="12" style="289" customWidth="1"/>
    <col min="49" max="49" width="10.5" style="289" customWidth="1"/>
    <col min="50" max="50" width="10" style="289" customWidth="1"/>
    <col min="51" max="51" width="11.125" style="289" customWidth="1"/>
    <col min="52" max="52" width="15.5" style="289" customWidth="1"/>
    <col min="53" max="53" width="31" style="289" bestFit="1" customWidth="1"/>
    <col min="54" max="61" width="9.125" style="289"/>
    <col min="62" max="62" width="18.5" style="289" customWidth="1"/>
    <col min="63" max="63" width="9.125" style="289"/>
    <col min="64" max="64" width="61.5" style="289" bestFit="1" customWidth="1"/>
    <col min="65" max="65" width="9.125" style="289"/>
    <col min="66" max="66" width="11" style="289" customWidth="1"/>
    <col min="67" max="74" width="9.125" style="289"/>
    <col min="75" max="75" width="61.5" style="289" bestFit="1" customWidth="1"/>
    <col min="76" max="85" width="9.125" style="289"/>
    <col min="86" max="86" width="31" style="289" bestFit="1" customWidth="1"/>
    <col min="87" max="96" width="9.125" style="289"/>
    <col min="97" max="97" width="59.625" style="289" bestFit="1" customWidth="1"/>
    <col min="98" max="107" width="9.125" style="289"/>
    <col min="108" max="108" width="59.625" style="289" bestFit="1" customWidth="1"/>
    <col min="109" max="118" width="9.125" style="289"/>
    <col min="119" max="119" width="67.125" style="289" bestFit="1" customWidth="1"/>
    <col min="120" max="129" width="9.125" style="289"/>
    <col min="130" max="130" width="67.125" style="289" bestFit="1" customWidth="1"/>
    <col min="131" max="16384" width="9.125" style="289"/>
  </cols>
  <sheetData>
    <row r="1" spans="2:138">
      <c r="AM1" s="607"/>
      <c r="AN1" s="607"/>
      <c r="AO1" s="607"/>
      <c r="AP1" s="607"/>
      <c r="AQ1" s="607"/>
      <c r="AR1" s="607"/>
    </row>
    <row r="2" spans="2:138" s="564" customFormat="1" ht="49.5">
      <c r="B2" s="565"/>
      <c r="C2" s="566"/>
      <c r="D2" s="808" t="s">
        <v>1147</v>
      </c>
      <c r="E2" s="809" t="s">
        <v>1148</v>
      </c>
      <c r="F2" s="810" t="s">
        <v>1149</v>
      </c>
      <c r="G2" s="566" t="s">
        <v>1150</v>
      </c>
      <c r="H2" s="808" t="s">
        <v>1165</v>
      </c>
      <c r="I2" s="809" t="s">
        <v>1169</v>
      </c>
      <c r="J2" s="810" t="s">
        <v>1170</v>
      </c>
      <c r="K2" s="566" t="s">
        <v>1171</v>
      </c>
      <c r="L2" s="808" t="s">
        <v>1173</v>
      </c>
      <c r="M2" s="809" t="s">
        <v>1175</v>
      </c>
      <c r="N2" s="810" t="s">
        <v>1177</v>
      </c>
      <c r="O2" s="566" t="s">
        <v>1179</v>
      </c>
      <c r="P2" s="808" t="s">
        <v>1181</v>
      </c>
      <c r="Q2" s="809" t="s">
        <v>1183</v>
      </c>
      <c r="R2" s="810" t="s">
        <v>1185</v>
      </c>
      <c r="S2" s="566" t="s">
        <v>1187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</row>
    <row r="3" spans="2:138">
      <c r="B3" s="684" t="s">
        <v>782</v>
      </c>
      <c r="C3" s="292" t="s">
        <v>783</v>
      </c>
      <c r="D3" s="811">
        <f>B16</f>
        <v>276952</v>
      </c>
      <c r="E3" s="812">
        <f>L16</f>
        <v>194306.1</v>
      </c>
      <c r="F3" s="813">
        <f>V16</f>
        <v>61413.7</v>
      </c>
      <c r="G3" s="305">
        <f>AF16</f>
        <v>129859.29999999999</v>
      </c>
      <c r="H3" s="814">
        <f>AP16</f>
        <v>438472.11</v>
      </c>
      <c r="I3" s="815">
        <f>BA16</f>
        <v>339963.64999999997</v>
      </c>
      <c r="J3" s="813">
        <f>BL16</f>
        <v>180775.03999999998</v>
      </c>
      <c r="K3" s="305">
        <f>BW16</f>
        <v>236478.38</v>
      </c>
      <c r="L3" s="816">
        <f>CH16</f>
        <v>276952</v>
      </c>
      <c r="M3" s="815">
        <f>CS16</f>
        <v>194306.1</v>
      </c>
      <c r="N3" s="813">
        <f>DD16</f>
        <v>61413.7</v>
      </c>
      <c r="O3" s="817">
        <f>DO16</f>
        <v>129859.29999999999</v>
      </c>
      <c r="P3" s="816">
        <f>DZ16</f>
        <v>279960.02049999998</v>
      </c>
      <c r="Q3" s="815">
        <f>B73</f>
        <v>201731.47756</v>
      </c>
      <c r="R3" s="813">
        <f>L73</f>
        <v>69354.823399999994</v>
      </c>
      <c r="S3" s="817">
        <f>V73</f>
        <v>142032.07119999998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</row>
    <row r="4" spans="2:138">
      <c r="B4" s="684" t="s">
        <v>920</v>
      </c>
      <c r="C4" s="292" t="s">
        <v>657</v>
      </c>
      <c r="D4" s="811">
        <f>B27</f>
        <v>969998</v>
      </c>
      <c r="E4" s="812">
        <f>L27</f>
        <v>705579</v>
      </c>
      <c r="F4" s="813">
        <f>V27</f>
        <v>511184</v>
      </c>
      <c r="G4" s="305">
        <f>AF27</f>
        <v>386920</v>
      </c>
      <c r="H4" s="814">
        <f>AP27</f>
        <v>1029961.338</v>
      </c>
      <c r="I4" s="815">
        <f>BA27</f>
        <v>759523.39300000004</v>
      </c>
      <c r="J4" s="813">
        <f>BL27</f>
        <v>557152.34200000006</v>
      </c>
      <c r="K4" s="709">
        <f>BW27</f>
        <v>429367.08600000001</v>
      </c>
      <c r="L4" s="816">
        <f>CH27+2418*1000*(8000/8760)</f>
        <v>3178217.1780821919</v>
      </c>
      <c r="M4" s="815">
        <f>CS27+1880*1000*(8000/8760)</f>
        <v>2422473.9771689498</v>
      </c>
      <c r="N4" s="813">
        <f>DD27+1541*1000*(8000/8760)</f>
        <v>1918489.9360730592</v>
      </c>
      <c r="O4" s="817">
        <f>DO27+1337*1000*(8000/8760)</f>
        <v>1607924.5662100455</v>
      </c>
      <c r="P4" s="816">
        <f>DZ27+2418*1000*(8000/8760)</f>
        <v>3179994.4716521921</v>
      </c>
      <c r="Q4" s="815">
        <f>B84+1880*1000*(8000/8760)</f>
        <v>2426821.7534689498</v>
      </c>
      <c r="R4" s="813">
        <f>L84+1541*1000*(8000/8760)</f>
        <v>1923163.3984730593</v>
      </c>
      <c r="S4" s="817">
        <f>V84+1337*1000*(8000/8760)</f>
        <v>1615304.6223100454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</row>
    <row r="5" spans="2:138">
      <c r="B5" s="684" t="s">
        <v>921</v>
      </c>
      <c r="C5" s="292" t="s">
        <v>657</v>
      </c>
      <c r="D5" s="811"/>
      <c r="E5" s="812"/>
      <c r="F5" s="813"/>
      <c r="G5" s="305"/>
      <c r="H5" s="814"/>
      <c r="I5" s="815"/>
      <c r="J5" s="813"/>
      <c r="K5" s="305"/>
      <c r="L5" s="816"/>
      <c r="M5" s="815"/>
      <c r="N5" s="818"/>
      <c r="O5" s="819"/>
      <c r="P5" s="820"/>
      <c r="Q5" s="809"/>
      <c r="R5" s="810"/>
      <c r="S5" s="821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</row>
    <row r="6" spans="2:138">
      <c r="B6" s="684" t="s">
        <v>1068</v>
      </c>
      <c r="C6" s="292" t="s">
        <v>657</v>
      </c>
      <c r="D6" s="811"/>
      <c r="E6" s="812"/>
      <c r="F6" s="813"/>
      <c r="G6" s="305"/>
      <c r="H6" s="814"/>
      <c r="I6" s="815"/>
      <c r="J6" s="813"/>
      <c r="K6" s="305"/>
      <c r="L6" s="816"/>
      <c r="M6" s="815"/>
      <c r="N6" s="818"/>
      <c r="O6" s="819"/>
      <c r="P6" s="822"/>
      <c r="Q6" s="823"/>
      <c r="R6" s="818"/>
      <c r="S6" s="824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M6" s="800" t="s">
        <v>1235</v>
      </c>
      <c r="BN6">
        <v>-18313676.109999999</v>
      </c>
    </row>
    <row r="7" spans="2:138">
      <c r="B7" s="684" t="s">
        <v>187</v>
      </c>
      <c r="C7" s="292" t="s">
        <v>657</v>
      </c>
      <c r="D7" s="811">
        <f>B37</f>
        <v>0</v>
      </c>
      <c r="E7" s="812">
        <f>L37</f>
        <v>0</v>
      </c>
      <c r="F7" s="813">
        <f>V37</f>
        <v>0</v>
      </c>
      <c r="G7" s="305">
        <f>AF37</f>
        <v>0</v>
      </c>
      <c r="H7" s="814">
        <f>AP37</f>
        <v>0</v>
      </c>
      <c r="I7" s="815">
        <f>BA37</f>
        <v>0</v>
      </c>
      <c r="J7" s="813">
        <f>BL37</f>
        <v>0</v>
      </c>
      <c r="K7" s="305">
        <f>BW37</f>
        <v>0</v>
      </c>
      <c r="L7" s="816">
        <f>CH37</f>
        <v>0</v>
      </c>
      <c r="M7" s="815">
        <f>CS37</f>
        <v>0</v>
      </c>
      <c r="N7" s="813">
        <f>DD37</f>
        <v>0</v>
      </c>
      <c r="O7" s="817">
        <f>DO37</f>
        <v>0</v>
      </c>
      <c r="P7" s="816">
        <f>DZ37</f>
        <v>0</v>
      </c>
      <c r="Q7" s="815">
        <f>B94</f>
        <v>0</v>
      </c>
      <c r="R7" s="813">
        <f>L94</f>
        <v>0</v>
      </c>
      <c r="S7" s="817">
        <f>V94</f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M7" s="800" t="s">
        <v>1118</v>
      </c>
      <c r="BN7" s="289">
        <f>-BN6*3600/239000000</f>
        <v>275.85453554811716</v>
      </c>
      <c r="BP7" s="800" t="s">
        <v>1087</v>
      </c>
      <c r="BQ7" s="800" t="s">
        <v>1236</v>
      </c>
    </row>
    <row r="8" spans="2:138">
      <c r="B8" s="684" t="s">
        <v>784</v>
      </c>
      <c r="C8" s="292" t="s">
        <v>783</v>
      </c>
      <c r="D8" s="811">
        <f>B44</f>
        <v>0</v>
      </c>
      <c r="E8" s="812">
        <f>L44</f>
        <v>0</v>
      </c>
      <c r="F8" s="813">
        <f>V44</f>
        <v>0</v>
      </c>
      <c r="G8" s="305">
        <f>AF44</f>
        <v>0</v>
      </c>
      <c r="H8" s="814">
        <f>AP44</f>
        <v>0</v>
      </c>
      <c r="I8" s="815">
        <f>BA44</f>
        <v>0</v>
      </c>
      <c r="J8" s="813">
        <f>BL44</f>
        <v>0</v>
      </c>
      <c r="K8" s="305">
        <f>BW44</f>
        <v>0</v>
      </c>
      <c r="L8" s="816">
        <f>CH44</f>
        <v>0</v>
      </c>
      <c r="M8" s="815">
        <f>CS44</f>
        <v>0</v>
      </c>
      <c r="N8" s="813">
        <f>DD44</f>
        <v>0</v>
      </c>
      <c r="O8" s="817">
        <f>DO44</f>
        <v>0</v>
      </c>
      <c r="P8" s="816">
        <f>DZ44</f>
        <v>0</v>
      </c>
      <c r="Q8" s="815">
        <f>B101</f>
        <v>0</v>
      </c>
      <c r="R8" s="813">
        <f>L101</f>
        <v>0</v>
      </c>
      <c r="S8" s="817">
        <f>V101</f>
        <v>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M8" s="800" t="s">
        <v>1087</v>
      </c>
      <c r="BN8" s="289">
        <f>BN7*277.778</f>
        <v>76626.321175484889</v>
      </c>
      <c r="BP8" s="289">
        <v>58333.3</v>
      </c>
      <c r="BQ8" s="289">
        <v>95.808000000000007</v>
      </c>
    </row>
    <row r="9" spans="2:138">
      <c r="B9" s="684" t="s">
        <v>785</v>
      </c>
      <c r="C9" s="292" t="s">
        <v>783</v>
      </c>
      <c r="D9" s="811">
        <f>B51</f>
        <v>0</v>
      </c>
      <c r="E9" s="812">
        <f>L51</f>
        <v>0</v>
      </c>
      <c r="F9" s="813">
        <f>V51</f>
        <v>0</v>
      </c>
      <c r="G9" s="305">
        <f>AF51</f>
        <v>0</v>
      </c>
      <c r="H9" s="814">
        <f>AP51</f>
        <v>787.0912281293181</v>
      </c>
      <c r="I9" s="815">
        <f>BA51</f>
        <v>649.23815652584028</v>
      </c>
      <c r="J9" s="813">
        <f>BL51</f>
        <v>529.53666076209356</v>
      </c>
      <c r="K9" s="305">
        <f>BW51</f>
        <v>446.3177031729295</v>
      </c>
      <c r="L9" s="816">
        <f>CH51</f>
        <v>0</v>
      </c>
      <c r="M9" s="815">
        <f>CS51</f>
        <v>0</v>
      </c>
      <c r="N9" s="813">
        <f>DD51</f>
        <v>0</v>
      </c>
      <c r="O9" s="817">
        <f>DO51</f>
        <v>0</v>
      </c>
      <c r="P9" s="816">
        <f>DZ51</f>
        <v>22.298386424797183</v>
      </c>
      <c r="Q9" s="815">
        <f>B108</f>
        <v>49.879328644441422</v>
      </c>
      <c r="R9" s="813">
        <f>L108</f>
        <v>50.793452088165481</v>
      </c>
      <c r="S9" s="817">
        <f>V108</f>
        <v>125.85289327332514</v>
      </c>
      <c r="T9"/>
      <c r="U9"/>
      <c r="V9"/>
      <c r="W9"/>
      <c r="X9"/>
      <c r="Y9"/>
      <c r="Z9"/>
      <c r="AA9"/>
      <c r="AB9"/>
      <c r="AC9"/>
      <c r="AD9"/>
      <c r="AE9"/>
      <c r="AF9">
        <v>-18313676.109999999</v>
      </c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M9" s="800" t="s">
        <v>1236</v>
      </c>
      <c r="BN9" s="289">
        <f>BN8*BQ8/BP8</f>
        <v>125.85289327332514</v>
      </c>
    </row>
    <row r="10" spans="2:138">
      <c r="B10" s="684" t="s">
        <v>596</v>
      </c>
      <c r="C10" s="292" t="s">
        <v>657</v>
      </c>
      <c r="D10" s="811">
        <f>B58</f>
        <v>238557.95</v>
      </c>
      <c r="E10" s="812">
        <f>L58</f>
        <v>169532.285</v>
      </c>
      <c r="F10" s="813">
        <f>V58</f>
        <v>174006.8</v>
      </c>
      <c r="G10" s="305">
        <f>AF58</f>
        <v>170031.16957</v>
      </c>
      <c r="H10" s="814">
        <f>AP58</f>
        <v>238557.95</v>
      </c>
      <c r="I10" s="815">
        <f>BA58</f>
        <v>169532.285</v>
      </c>
      <c r="J10" s="813">
        <f>BL58</f>
        <v>174006.8</v>
      </c>
      <c r="K10" s="305">
        <f>BW58</f>
        <v>170031.16957</v>
      </c>
      <c r="L10" s="816">
        <f>CH58</f>
        <v>238557.95</v>
      </c>
      <c r="M10" s="815">
        <f>CS58</f>
        <v>169532.285</v>
      </c>
      <c r="N10" s="813">
        <f>DD58</f>
        <v>174006.8</v>
      </c>
      <c r="O10" s="817">
        <f>DO58</f>
        <v>170031.16957</v>
      </c>
      <c r="P10" s="816">
        <f>DZ58</f>
        <v>238557.95</v>
      </c>
      <c r="Q10" s="815">
        <f>B115</f>
        <v>169532.285</v>
      </c>
      <c r="R10" s="813">
        <f>L115</f>
        <v>174006.8</v>
      </c>
      <c r="S10" s="817">
        <f>V115</f>
        <v>170031.16957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</row>
    <row r="11" spans="2:138">
      <c r="B11" s="290" t="s">
        <v>786</v>
      </c>
      <c r="C11" s="291" t="s">
        <v>657</v>
      </c>
      <c r="D11" s="825">
        <f t="shared" ref="D11:S11" si="0">D4+D5+D6+D7+D8*1000*0.78+D9*1000*0.75+D10</f>
        <v>1208555.95</v>
      </c>
      <c r="E11" s="812">
        <f t="shared" si="0"/>
        <v>875111.28500000003</v>
      </c>
      <c r="F11" s="826">
        <f t="shared" si="0"/>
        <v>685190.8</v>
      </c>
      <c r="G11" s="303">
        <f t="shared" si="0"/>
        <v>556951.16957000003</v>
      </c>
      <c r="H11" s="825">
        <f t="shared" si="0"/>
        <v>1858837.7090969884</v>
      </c>
      <c r="I11" s="812">
        <f t="shared" si="0"/>
        <v>1415984.2953943801</v>
      </c>
      <c r="J11" s="826">
        <f t="shared" si="0"/>
        <v>1128311.6375715702</v>
      </c>
      <c r="K11" s="303">
        <f t="shared" si="0"/>
        <v>934136.53294969711</v>
      </c>
      <c r="L11" s="825">
        <f t="shared" si="0"/>
        <v>3416775.128082192</v>
      </c>
      <c r="M11" s="812">
        <f t="shared" si="0"/>
        <v>2592006.2621689499</v>
      </c>
      <c r="N11" s="826">
        <f t="shared" si="0"/>
        <v>2092496.7360730593</v>
      </c>
      <c r="O11" s="303">
        <f t="shared" si="0"/>
        <v>1777955.7357800454</v>
      </c>
      <c r="P11" s="825">
        <f t="shared" si="0"/>
        <v>3435276.2114707902</v>
      </c>
      <c r="Q11" s="812">
        <f t="shared" si="0"/>
        <v>2633763.534952281</v>
      </c>
      <c r="R11" s="826">
        <f t="shared" si="0"/>
        <v>2135265.2875391832</v>
      </c>
      <c r="S11" s="303">
        <f t="shared" si="0"/>
        <v>1879725.4618350391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</row>
    <row r="12" spans="2:138">
      <c r="AF12" s="289" t="s">
        <v>1119</v>
      </c>
      <c r="AG12" s="289" t="s">
        <v>1120</v>
      </c>
      <c r="AH12" s="289" t="s">
        <v>1121</v>
      </c>
      <c r="AI12" s="289" t="s">
        <v>1122</v>
      </c>
    </row>
    <row r="13" spans="2:138">
      <c r="AP13"/>
      <c r="AQ13"/>
      <c r="AR13"/>
      <c r="AS13"/>
      <c r="AT13"/>
      <c r="AU13"/>
      <c r="AV13"/>
      <c r="AW13"/>
      <c r="AX13"/>
      <c r="AY13"/>
    </row>
    <row r="14" spans="2:138" s="293" customFormat="1" ht="26.25">
      <c r="B14" s="311" t="s">
        <v>1151</v>
      </c>
      <c r="L14" s="311" t="s">
        <v>1152</v>
      </c>
      <c r="V14" s="311" t="s">
        <v>1153</v>
      </c>
      <c r="AF14" s="311" t="s">
        <v>1154</v>
      </c>
      <c r="AP14" s="752" t="s">
        <v>1164</v>
      </c>
      <c r="AY14"/>
      <c r="BA14" s="311" t="s">
        <v>1169</v>
      </c>
      <c r="BL14" s="311" t="s">
        <v>1170</v>
      </c>
      <c r="BW14" s="311" t="s">
        <v>1171</v>
      </c>
      <c r="CH14" s="311" t="s">
        <v>1172</v>
      </c>
      <c r="CS14" s="311" t="s">
        <v>1175</v>
      </c>
      <c r="DD14" s="311" t="s">
        <v>1177</v>
      </c>
      <c r="DO14" s="311" t="s">
        <v>1179</v>
      </c>
      <c r="DZ14" s="311" t="s">
        <v>1181</v>
      </c>
    </row>
    <row r="15" spans="2:138">
      <c r="B15" s="294" t="s">
        <v>782</v>
      </c>
      <c r="C15" s="295"/>
      <c r="D15" s="296" t="s">
        <v>175</v>
      </c>
      <c r="E15" s="296" t="s">
        <v>176</v>
      </c>
      <c r="F15" s="296" t="s">
        <v>177</v>
      </c>
      <c r="G15" s="296" t="s">
        <v>178</v>
      </c>
      <c r="H15" s="296" t="s">
        <v>179</v>
      </c>
      <c r="I15" s="296" t="s">
        <v>180</v>
      </c>
      <c r="J15" s="296"/>
      <c r="L15" s="294" t="s">
        <v>782</v>
      </c>
      <c r="M15" s="295"/>
      <c r="N15" s="296" t="s">
        <v>175</v>
      </c>
      <c r="O15" s="296" t="s">
        <v>176</v>
      </c>
      <c r="P15" s="296" t="s">
        <v>177</v>
      </c>
      <c r="Q15" s="296" t="s">
        <v>178</v>
      </c>
      <c r="R15" s="296" t="s">
        <v>179</v>
      </c>
      <c r="S15" s="296" t="s">
        <v>180</v>
      </c>
      <c r="T15" s="296"/>
      <c r="V15" s="294" t="s">
        <v>782</v>
      </c>
      <c r="W15" s="295"/>
      <c r="X15" s="296" t="s">
        <v>175</v>
      </c>
      <c r="Y15" s="296" t="s">
        <v>176</v>
      </c>
      <c r="Z15" s="296" t="s">
        <v>177</v>
      </c>
      <c r="AA15" s="296" t="s">
        <v>178</v>
      </c>
      <c r="AB15" s="296" t="s">
        <v>179</v>
      </c>
      <c r="AC15" s="296" t="s">
        <v>180</v>
      </c>
      <c r="AD15" s="296"/>
      <c r="AF15" s="294" t="s">
        <v>782</v>
      </c>
      <c r="AG15" s="295"/>
      <c r="AH15" s="296" t="s">
        <v>175</v>
      </c>
      <c r="AI15" s="296" t="s">
        <v>176</v>
      </c>
      <c r="AJ15" s="296" t="s">
        <v>177</v>
      </c>
      <c r="AK15" s="296" t="s">
        <v>178</v>
      </c>
      <c r="AL15" s="296" t="s">
        <v>179</v>
      </c>
      <c r="AM15" s="296" t="s">
        <v>180</v>
      </c>
      <c r="AN15" s="296"/>
      <c r="AP15" s="294" t="s">
        <v>782</v>
      </c>
      <c r="AQ15" s="295"/>
      <c r="AR15" s="296" t="s">
        <v>175</v>
      </c>
      <c r="AS15" s="296" t="s">
        <v>176</v>
      </c>
      <c r="AT15" s="296" t="s">
        <v>177</v>
      </c>
      <c r="AU15" s="296" t="s">
        <v>178</v>
      </c>
      <c r="AV15" s="296" t="s">
        <v>179</v>
      </c>
      <c r="AW15" s="296" t="s">
        <v>180</v>
      </c>
      <c r="AX15" s="296"/>
      <c r="AY15"/>
      <c r="BA15" s="294" t="s">
        <v>782</v>
      </c>
      <c r="BB15" s="295"/>
      <c r="BC15" s="296" t="s">
        <v>175</v>
      </c>
      <c r="BD15" s="296" t="s">
        <v>176</v>
      </c>
      <c r="BE15" s="296" t="s">
        <v>177</v>
      </c>
      <c r="BF15" s="296" t="s">
        <v>178</v>
      </c>
      <c r="BG15" s="296" t="s">
        <v>179</v>
      </c>
      <c r="BH15" s="296" t="s">
        <v>180</v>
      </c>
      <c r="BI15" s="296"/>
      <c r="BL15" s="294" t="s">
        <v>782</v>
      </c>
      <c r="BM15" s="295"/>
      <c r="BN15" s="296" t="s">
        <v>175</v>
      </c>
      <c r="BO15" s="296" t="s">
        <v>176</v>
      </c>
      <c r="BP15" s="296" t="s">
        <v>177</v>
      </c>
      <c r="BQ15" s="296" t="s">
        <v>178</v>
      </c>
      <c r="BR15" s="296" t="s">
        <v>179</v>
      </c>
      <c r="BS15" s="296" t="s">
        <v>180</v>
      </c>
      <c r="BT15" s="296"/>
      <c r="BW15" s="294" t="s">
        <v>782</v>
      </c>
      <c r="BX15" s="295"/>
      <c r="BY15" s="296" t="s">
        <v>175</v>
      </c>
      <c r="BZ15" s="296" t="s">
        <v>176</v>
      </c>
      <c r="CA15" s="296" t="s">
        <v>177</v>
      </c>
      <c r="CB15" s="296" t="s">
        <v>178</v>
      </c>
      <c r="CC15" s="296" t="s">
        <v>179</v>
      </c>
      <c r="CD15" s="296" t="s">
        <v>180</v>
      </c>
      <c r="CE15" s="296"/>
      <c r="CH15" s="294" t="s">
        <v>782</v>
      </c>
      <c r="CI15" s="295"/>
      <c r="CJ15" s="296" t="s">
        <v>175</v>
      </c>
      <c r="CK15" s="296" t="s">
        <v>176</v>
      </c>
      <c r="CL15" s="296" t="s">
        <v>177</v>
      </c>
      <c r="CM15" s="296" t="s">
        <v>178</v>
      </c>
      <c r="CN15" s="296" t="s">
        <v>179</v>
      </c>
      <c r="CO15" s="296" t="s">
        <v>180</v>
      </c>
      <c r="CP15" s="296"/>
      <c r="CS15" s="294" t="s">
        <v>782</v>
      </c>
      <c r="CT15" s="295"/>
      <c r="CU15" s="296" t="s">
        <v>175</v>
      </c>
      <c r="CV15" s="296" t="s">
        <v>176</v>
      </c>
      <c r="CW15" s="296" t="s">
        <v>177</v>
      </c>
      <c r="CX15" s="296" t="s">
        <v>178</v>
      </c>
      <c r="CY15" s="296" t="s">
        <v>179</v>
      </c>
      <c r="CZ15" s="296" t="s">
        <v>180</v>
      </c>
      <c r="DA15" s="296"/>
      <c r="DD15" s="294" t="s">
        <v>782</v>
      </c>
      <c r="DE15" s="295"/>
      <c r="DF15" s="296" t="s">
        <v>175</v>
      </c>
      <c r="DG15" s="296" t="s">
        <v>176</v>
      </c>
      <c r="DH15" s="296" t="s">
        <v>177</v>
      </c>
      <c r="DI15" s="296" t="s">
        <v>178</v>
      </c>
      <c r="DJ15" s="296" t="s">
        <v>179</v>
      </c>
      <c r="DK15" s="296" t="s">
        <v>180</v>
      </c>
      <c r="DL15" s="296"/>
      <c r="DO15" s="294" t="s">
        <v>782</v>
      </c>
      <c r="DP15" s="295"/>
      <c r="DQ15" s="296" t="s">
        <v>175</v>
      </c>
      <c r="DR15" s="296" t="s">
        <v>176</v>
      </c>
      <c r="DS15" s="296" t="s">
        <v>177</v>
      </c>
      <c r="DT15" s="296" t="s">
        <v>178</v>
      </c>
      <c r="DU15" s="296" t="s">
        <v>179</v>
      </c>
      <c r="DV15" s="296" t="s">
        <v>180</v>
      </c>
      <c r="DW15" s="296"/>
      <c r="DZ15" s="294" t="s">
        <v>782</v>
      </c>
      <c r="EA15" s="295"/>
      <c r="EB15" s="296" t="s">
        <v>175</v>
      </c>
      <c r="EC15" s="296" t="s">
        <v>176</v>
      </c>
      <c r="ED15" s="296" t="s">
        <v>177</v>
      </c>
      <c r="EE15" s="296" t="s">
        <v>178</v>
      </c>
      <c r="EF15" s="296" t="s">
        <v>179</v>
      </c>
      <c r="EG15" s="296" t="s">
        <v>180</v>
      </c>
      <c r="EH15" s="296"/>
    </row>
    <row r="16" spans="2:138">
      <c r="B16" s="294">
        <f>SUM(G17:G25)</f>
        <v>276952</v>
      </c>
      <c r="C16" s="295" t="s">
        <v>783</v>
      </c>
      <c r="D16" s="296"/>
      <c r="E16" s="296"/>
      <c r="F16" s="296" t="s">
        <v>181</v>
      </c>
      <c r="G16" s="296" t="s">
        <v>787</v>
      </c>
      <c r="H16" s="296" t="s">
        <v>86</v>
      </c>
      <c r="I16" s="296"/>
      <c r="J16" s="296"/>
      <c r="L16" s="294">
        <f>SUM(Q17:Q25)</f>
        <v>194306.1</v>
      </c>
      <c r="M16" s="295" t="s">
        <v>783</v>
      </c>
      <c r="N16" s="296"/>
      <c r="O16" s="296"/>
      <c r="P16" s="296" t="s">
        <v>181</v>
      </c>
      <c r="Q16" s="296" t="s">
        <v>787</v>
      </c>
      <c r="R16" s="296" t="s">
        <v>86</v>
      </c>
      <c r="S16" s="296"/>
      <c r="T16" s="296"/>
      <c r="V16" s="294">
        <f>SUM(AA17:AA25)</f>
        <v>61413.7</v>
      </c>
      <c r="W16" s="295" t="s">
        <v>783</v>
      </c>
      <c r="X16" s="296"/>
      <c r="Y16" s="296"/>
      <c r="Z16" s="296" t="s">
        <v>181</v>
      </c>
      <c r="AA16" s="296" t="s">
        <v>787</v>
      </c>
      <c r="AB16" s="296" t="s">
        <v>86</v>
      </c>
      <c r="AC16" s="296"/>
      <c r="AD16" s="296"/>
      <c r="AF16" s="294">
        <f>SUM(AK17:AK25)</f>
        <v>129859.29999999999</v>
      </c>
      <c r="AG16" s="295" t="s">
        <v>783</v>
      </c>
      <c r="AH16" s="296"/>
      <c r="AI16" s="296"/>
      <c r="AJ16" s="296" t="s">
        <v>181</v>
      </c>
      <c r="AK16" s="296" t="s">
        <v>787</v>
      </c>
      <c r="AL16" s="296" t="s">
        <v>86</v>
      </c>
      <c r="AM16" s="296"/>
      <c r="AN16" s="296"/>
      <c r="AP16" s="294">
        <f>SUM(AU17:AU25)</f>
        <v>438472.11</v>
      </c>
      <c r="AQ16" s="295" t="s">
        <v>783</v>
      </c>
      <c r="AR16" s="296"/>
      <c r="AS16" s="296"/>
      <c r="AT16" s="296" t="s">
        <v>181</v>
      </c>
      <c r="AU16" s="296" t="s">
        <v>787</v>
      </c>
      <c r="AV16" s="296" t="s">
        <v>86</v>
      </c>
      <c r="AW16" s="296"/>
      <c r="AX16" s="296"/>
      <c r="AY16"/>
      <c r="BA16" s="294">
        <f>SUM(BF17:BF25)</f>
        <v>339963.64999999997</v>
      </c>
      <c r="BB16" s="295" t="s">
        <v>783</v>
      </c>
      <c r="BC16" s="296"/>
      <c r="BD16" s="296"/>
      <c r="BE16" s="296" t="s">
        <v>181</v>
      </c>
      <c r="BF16" s="296" t="s">
        <v>787</v>
      </c>
      <c r="BG16" s="296" t="s">
        <v>86</v>
      </c>
      <c r="BH16" s="296"/>
      <c r="BI16" s="296"/>
      <c r="BL16" s="294">
        <f>SUM(BQ17:BQ25)</f>
        <v>180775.03999999998</v>
      </c>
      <c r="BM16" s="295" t="s">
        <v>783</v>
      </c>
      <c r="BN16" s="296"/>
      <c r="BO16" s="296"/>
      <c r="BP16" s="296" t="s">
        <v>181</v>
      </c>
      <c r="BQ16" s="296" t="s">
        <v>787</v>
      </c>
      <c r="BR16" s="296" t="s">
        <v>86</v>
      </c>
      <c r="BS16" s="296"/>
      <c r="BT16" s="296"/>
      <c r="BW16" s="294">
        <f>SUM(CB17:CB25)</f>
        <v>236478.38</v>
      </c>
      <c r="BX16" s="295" t="s">
        <v>783</v>
      </c>
      <c r="BY16" s="296"/>
      <c r="BZ16" s="296"/>
      <c r="CA16" s="296" t="s">
        <v>181</v>
      </c>
      <c r="CB16" s="296" t="s">
        <v>787</v>
      </c>
      <c r="CC16" s="296" t="s">
        <v>86</v>
      </c>
      <c r="CD16" s="296"/>
      <c r="CE16" s="296"/>
      <c r="CH16" s="294">
        <f>SUM(CM17:CM25)</f>
        <v>276952</v>
      </c>
      <c r="CI16" s="295" t="s">
        <v>783</v>
      </c>
      <c r="CJ16" s="296"/>
      <c r="CK16" s="296"/>
      <c r="CL16" s="296" t="s">
        <v>181</v>
      </c>
      <c r="CM16" s="296" t="s">
        <v>787</v>
      </c>
      <c r="CN16" s="296" t="s">
        <v>86</v>
      </c>
      <c r="CO16" s="296"/>
      <c r="CP16" s="296"/>
      <c r="CS16" s="294">
        <f>SUM(CX17:CX25)</f>
        <v>194306.1</v>
      </c>
      <c r="CT16" s="295" t="s">
        <v>783</v>
      </c>
      <c r="CU16" s="296"/>
      <c r="CV16" s="296"/>
      <c r="CW16" s="296" t="s">
        <v>181</v>
      </c>
      <c r="CX16" s="296" t="s">
        <v>787</v>
      </c>
      <c r="CY16" s="296" t="s">
        <v>86</v>
      </c>
      <c r="CZ16" s="296"/>
      <c r="DA16" s="296"/>
      <c r="DD16" s="294">
        <f>SUM(DI17:DI25)</f>
        <v>61413.7</v>
      </c>
      <c r="DE16" s="295" t="s">
        <v>783</v>
      </c>
      <c r="DF16" s="296"/>
      <c r="DG16" s="296"/>
      <c r="DH16" s="296" t="s">
        <v>181</v>
      </c>
      <c r="DI16" s="296" t="s">
        <v>787</v>
      </c>
      <c r="DJ16" s="296" t="s">
        <v>86</v>
      </c>
      <c r="DK16" s="296"/>
      <c r="DL16" s="296"/>
      <c r="DO16" s="294">
        <f>SUM(DT17:DT25)</f>
        <v>129859.29999999999</v>
      </c>
      <c r="DP16" s="295" t="s">
        <v>783</v>
      </c>
      <c r="DQ16" s="296"/>
      <c r="DR16" s="296"/>
      <c r="DS16" s="296" t="s">
        <v>181</v>
      </c>
      <c r="DT16" s="296" t="s">
        <v>787</v>
      </c>
      <c r="DU16" s="296" t="s">
        <v>86</v>
      </c>
      <c r="DV16" s="296"/>
      <c r="DW16" s="296"/>
      <c r="DZ16" s="294">
        <f>SUM(EE17:EE25)</f>
        <v>279960.02049999998</v>
      </c>
      <c r="EA16" s="295" t="s">
        <v>783</v>
      </c>
      <c r="EB16" s="296"/>
      <c r="EC16" s="296"/>
      <c r="ED16" s="296" t="s">
        <v>181</v>
      </c>
      <c r="EE16" s="296" t="s">
        <v>787</v>
      </c>
      <c r="EF16" s="296" t="s">
        <v>86</v>
      </c>
      <c r="EG16" s="296"/>
      <c r="EH16" s="296"/>
    </row>
    <row r="17" spans="2:138">
      <c r="B17" s="294"/>
      <c r="C17" s="295"/>
      <c r="D17" s="296" t="s">
        <v>146</v>
      </c>
      <c r="E17" s="296" t="s">
        <v>171</v>
      </c>
      <c r="F17" s="297">
        <v>866610</v>
      </c>
      <c r="G17" s="297">
        <v>149446</v>
      </c>
      <c r="H17" s="296">
        <v>661.39700000000005</v>
      </c>
      <c r="I17" s="296"/>
      <c r="J17" s="296"/>
      <c r="L17" s="294"/>
      <c r="M17" s="295"/>
      <c r="N17" s="296" t="s">
        <v>146</v>
      </c>
      <c r="O17" s="296" t="s">
        <v>171</v>
      </c>
      <c r="P17" s="297">
        <v>648746</v>
      </c>
      <c r="Q17" s="297">
        <v>111876</v>
      </c>
      <c r="R17" s="296">
        <v>495.12299999999999</v>
      </c>
      <c r="S17" s="296"/>
      <c r="T17" s="296"/>
      <c r="V17" s="294"/>
      <c r="W17" s="295"/>
      <c r="X17" s="296" t="s">
        <v>789</v>
      </c>
      <c r="Y17" s="296" t="s">
        <v>788</v>
      </c>
      <c r="Z17" s="297">
        <v>174182</v>
      </c>
      <c r="AA17" s="297">
        <v>30037.4</v>
      </c>
      <c r="AB17" s="296">
        <v>132.935</v>
      </c>
      <c r="AC17" s="296"/>
      <c r="AD17" s="296"/>
      <c r="AF17" s="294"/>
      <c r="AG17" s="295"/>
      <c r="AH17" s="296" t="s">
        <v>146</v>
      </c>
      <c r="AI17" s="296" t="s">
        <v>171</v>
      </c>
      <c r="AJ17" s="297">
        <v>366431</v>
      </c>
      <c r="AK17" s="297">
        <v>63190.6</v>
      </c>
      <c r="AL17" s="296">
        <v>279.66000000000003</v>
      </c>
      <c r="AM17" s="296"/>
      <c r="AN17" s="296"/>
      <c r="AP17" s="294"/>
      <c r="AQ17" s="295"/>
      <c r="AR17" s="296" t="s">
        <v>146</v>
      </c>
      <c r="AS17" s="296" t="s">
        <v>171</v>
      </c>
      <c r="AT17" s="297">
        <v>866610</v>
      </c>
      <c r="AU17" s="297">
        <v>149446</v>
      </c>
      <c r="AV17" s="296">
        <v>661.39700000000005</v>
      </c>
      <c r="AW17" s="296"/>
      <c r="AX17" s="296"/>
      <c r="AY17"/>
      <c r="BA17" s="294"/>
      <c r="BB17" s="295"/>
      <c r="BC17" s="296" t="s">
        <v>146</v>
      </c>
      <c r="BD17" s="296" t="s">
        <v>171</v>
      </c>
      <c r="BE17" s="297">
        <v>648746</v>
      </c>
      <c r="BF17" s="297">
        <v>111876</v>
      </c>
      <c r="BG17" s="296">
        <v>495.12299999999999</v>
      </c>
      <c r="BH17" s="296"/>
      <c r="BI17" s="296"/>
      <c r="BL17" s="294"/>
      <c r="BM17" s="295"/>
      <c r="BN17" s="296" t="s">
        <v>789</v>
      </c>
      <c r="BO17" s="296" t="s">
        <v>788</v>
      </c>
      <c r="BP17" s="297">
        <v>174182</v>
      </c>
      <c r="BQ17" s="297">
        <v>30037.4</v>
      </c>
      <c r="BR17" s="296">
        <v>132.935</v>
      </c>
      <c r="BS17" s="296"/>
      <c r="BT17" s="296"/>
      <c r="BW17" s="294"/>
      <c r="BX17" s="295"/>
      <c r="BY17" s="296" t="s">
        <v>146</v>
      </c>
      <c r="BZ17" s="296" t="s">
        <v>171</v>
      </c>
      <c r="CA17" s="297">
        <v>366431</v>
      </c>
      <c r="CB17" s="297">
        <v>63190.6</v>
      </c>
      <c r="CC17" s="296">
        <v>279.66000000000003</v>
      </c>
      <c r="CD17" s="296"/>
      <c r="CE17" s="296"/>
      <c r="CH17" s="294"/>
      <c r="CI17" s="295"/>
      <c r="CJ17" s="296" t="s">
        <v>146</v>
      </c>
      <c r="CK17" s="296" t="s">
        <v>171</v>
      </c>
      <c r="CL17" s="297">
        <v>866610</v>
      </c>
      <c r="CM17" s="297">
        <v>149446</v>
      </c>
      <c r="CN17" s="296">
        <v>661.39700000000005</v>
      </c>
      <c r="CO17" s="296"/>
      <c r="CP17" s="296"/>
      <c r="CS17" s="294"/>
      <c r="CT17" s="295"/>
      <c r="CU17" s="296" t="s">
        <v>146</v>
      </c>
      <c r="CV17" s="296" t="s">
        <v>171</v>
      </c>
      <c r="CW17" s="297">
        <v>648746</v>
      </c>
      <c r="CX17" s="297">
        <v>111876</v>
      </c>
      <c r="CY17" s="296">
        <v>495.12299999999999</v>
      </c>
      <c r="CZ17" s="296"/>
      <c r="DA17" s="296"/>
      <c r="DD17" s="294"/>
      <c r="DE17" s="295"/>
      <c r="DF17" s="296" t="s">
        <v>789</v>
      </c>
      <c r="DG17" s="296" t="s">
        <v>788</v>
      </c>
      <c r="DH17" s="297">
        <v>174182</v>
      </c>
      <c r="DI17" s="297">
        <v>30037.4</v>
      </c>
      <c r="DJ17" s="296">
        <v>132.935</v>
      </c>
      <c r="DK17" s="296"/>
      <c r="DL17" s="296"/>
      <c r="DO17" s="294"/>
      <c r="DP17" s="295"/>
      <c r="DQ17" s="296" t="s">
        <v>146</v>
      </c>
      <c r="DR17" s="296" t="s">
        <v>171</v>
      </c>
      <c r="DS17" s="297">
        <v>366431</v>
      </c>
      <c r="DT17" s="297">
        <v>63190.6</v>
      </c>
      <c r="DU17" s="296">
        <v>279.66000000000003</v>
      </c>
      <c r="DV17" s="296"/>
      <c r="DW17" s="296"/>
      <c r="DZ17" s="294"/>
      <c r="EA17" s="295"/>
      <c r="EB17" s="296" t="s">
        <v>146</v>
      </c>
      <c r="EC17" s="296" t="s">
        <v>171</v>
      </c>
      <c r="ED17" s="297">
        <v>866610</v>
      </c>
      <c r="EE17" s="297">
        <v>149446</v>
      </c>
      <c r="EF17" s="296">
        <v>661.39700000000005</v>
      </c>
      <c r="EG17" s="296"/>
      <c r="EH17" s="296"/>
    </row>
    <row r="18" spans="2:138">
      <c r="B18" s="294"/>
      <c r="C18" s="295"/>
      <c r="D18" s="296" t="s">
        <v>789</v>
      </c>
      <c r="E18" s="296" t="s">
        <v>788</v>
      </c>
      <c r="F18" s="297">
        <v>676047</v>
      </c>
      <c r="G18" s="297">
        <v>116584</v>
      </c>
      <c r="H18" s="296">
        <v>515.95899999999995</v>
      </c>
      <c r="I18" s="296"/>
      <c r="J18" s="296"/>
      <c r="L18" s="294"/>
      <c r="M18" s="295"/>
      <c r="N18" s="296" t="s">
        <v>789</v>
      </c>
      <c r="O18" s="296" t="s">
        <v>788</v>
      </c>
      <c r="P18" s="296">
        <v>341259</v>
      </c>
      <c r="Q18" s="297">
        <v>58849.7</v>
      </c>
      <c r="R18" s="296">
        <v>260.44900000000001</v>
      </c>
      <c r="S18" s="296"/>
      <c r="T18" s="296"/>
      <c r="V18" s="294"/>
      <c r="W18" s="295"/>
      <c r="X18" s="296" t="s">
        <v>793</v>
      </c>
      <c r="Y18" s="296" t="s">
        <v>788</v>
      </c>
      <c r="Z18" s="296">
        <v>181945</v>
      </c>
      <c r="AA18" s="297">
        <v>31376.3</v>
      </c>
      <c r="AB18" s="296">
        <v>138.86099999999999</v>
      </c>
      <c r="AC18" s="296"/>
      <c r="AD18" s="296"/>
      <c r="AF18" s="294"/>
      <c r="AG18" s="295"/>
      <c r="AH18" s="296" t="s">
        <v>789</v>
      </c>
      <c r="AI18" s="296" t="s">
        <v>788</v>
      </c>
      <c r="AJ18" s="297">
        <v>134414</v>
      </c>
      <c r="AK18" s="297">
        <v>23179.599999999999</v>
      </c>
      <c r="AL18" s="296">
        <v>102.58499999999999</v>
      </c>
      <c r="AM18" s="296"/>
      <c r="AN18" s="296"/>
      <c r="AP18" s="294"/>
      <c r="AQ18" s="295"/>
      <c r="AR18" s="296" t="s">
        <v>789</v>
      </c>
      <c r="AS18" s="296" t="s">
        <v>788</v>
      </c>
      <c r="AT18" s="297">
        <v>676047</v>
      </c>
      <c r="AU18" s="297">
        <v>116584</v>
      </c>
      <c r="AV18" s="296">
        <v>515.95899999999995</v>
      </c>
      <c r="AW18" s="296"/>
      <c r="AX18" s="296"/>
      <c r="AY18"/>
      <c r="BA18" s="294"/>
      <c r="BB18" s="295"/>
      <c r="BC18" s="296" t="s">
        <v>789</v>
      </c>
      <c r="BD18" s="296" t="s">
        <v>788</v>
      </c>
      <c r="BE18" s="296">
        <v>341259</v>
      </c>
      <c r="BF18" s="297">
        <v>58849.7</v>
      </c>
      <c r="BG18" s="296">
        <v>260.44900000000001</v>
      </c>
      <c r="BH18" s="296"/>
      <c r="BI18" s="296"/>
      <c r="BL18" s="294"/>
      <c r="BM18" s="295"/>
      <c r="BN18" s="296" t="s">
        <v>793</v>
      </c>
      <c r="BO18" s="296" t="s">
        <v>788</v>
      </c>
      <c r="BP18" s="296">
        <v>181945</v>
      </c>
      <c r="BQ18" s="297">
        <v>31376.3</v>
      </c>
      <c r="BR18" s="296">
        <v>138.86099999999999</v>
      </c>
      <c r="BS18" s="296"/>
      <c r="BT18" s="296"/>
      <c r="BW18" s="294"/>
      <c r="BX18" s="295"/>
      <c r="BY18" s="296" t="s">
        <v>789</v>
      </c>
      <c r="BZ18" s="296" t="s">
        <v>788</v>
      </c>
      <c r="CA18" s="297">
        <v>134414</v>
      </c>
      <c r="CB18" s="297">
        <v>23179.599999999999</v>
      </c>
      <c r="CC18" s="296">
        <v>102.58499999999999</v>
      </c>
      <c r="CD18" s="296"/>
      <c r="CE18" s="296"/>
      <c r="CH18" s="294"/>
      <c r="CI18" s="295"/>
      <c r="CJ18" s="296" t="s">
        <v>789</v>
      </c>
      <c r="CK18" s="296" t="s">
        <v>788</v>
      </c>
      <c r="CL18" s="297">
        <v>676047</v>
      </c>
      <c r="CM18" s="297">
        <v>116584</v>
      </c>
      <c r="CN18" s="296">
        <v>515.95899999999995</v>
      </c>
      <c r="CO18" s="296"/>
      <c r="CP18" s="296"/>
      <c r="CS18" s="294"/>
      <c r="CT18" s="295"/>
      <c r="CU18" s="296" t="s">
        <v>789</v>
      </c>
      <c r="CV18" s="296" t="s">
        <v>788</v>
      </c>
      <c r="CW18" s="296">
        <v>341259</v>
      </c>
      <c r="CX18" s="297">
        <v>58849.7</v>
      </c>
      <c r="CY18" s="296">
        <v>260.44900000000001</v>
      </c>
      <c r="CZ18" s="296"/>
      <c r="DA18" s="296"/>
      <c r="DD18" s="294"/>
      <c r="DE18" s="295"/>
      <c r="DF18" s="296" t="s">
        <v>793</v>
      </c>
      <c r="DG18" s="296" t="s">
        <v>788</v>
      </c>
      <c r="DH18" s="296">
        <v>181945</v>
      </c>
      <c r="DI18" s="297">
        <v>31376.3</v>
      </c>
      <c r="DJ18" s="296">
        <v>138.86099999999999</v>
      </c>
      <c r="DK18" s="296"/>
      <c r="DL18" s="296"/>
      <c r="DO18" s="294"/>
      <c r="DP18" s="295"/>
      <c r="DQ18" s="296" t="s">
        <v>789</v>
      </c>
      <c r="DR18" s="296" t="s">
        <v>788</v>
      </c>
      <c r="DS18" s="297">
        <v>134414</v>
      </c>
      <c r="DT18" s="297">
        <v>23179.599999999999</v>
      </c>
      <c r="DU18" s="296">
        <v>102.58499999999999</v>
      </c>
      <c r="DV18" s="296"/>
      <c r="DW18" s="296"/>
      <c r="DZ18" s="294"/>
      <c r="EA18" s="295"/>
      <c r="EB18" s="296" t="s">
        <v>789</v>
      </c>
      <c r="EC18" s="296" t="s">
        <v>788</v>
      </c>
      <c r="ED18" s="297">
        <v>676047</v>
      </c>
      <c r="EE18" s="297">
        <v>116584</v>
      </c>
      <c r="EF18" s="296">
        <v>515.95899999999995</v>
      </c>
      <c r="EG18" s="296"/>
      <c r="EH18" s="296"/>
    </row>
    <row r="19" spans="2:138">
      <c r="B19" s="294"/>
      <c r="C19" s="295"/>
      <c r="D19" s="296" t="s">
        <v>793</v>
      </c>
      <c r="E19" s="296" t="s">
        <v>788</v>
      </c>
      <c r="F19" s="296">
        <v>63334.6</v>
      </c>
      <c r="G19" s="297">
        <v>10922</v>
      </c>
      <c r="H19" s="296">
        <v>48.337000000000003</v>
      </c>
      <c r="I19" s="296"/>
      <c r="J19" s="296"/>
      <c r="L19" s="294"/>
      <c r="M19" s="295"/>
      <c r="N19" s="296" t="s">
        <v>793</v>
      </c>
      <c r="O19" s="296" t="s">
        <v>788</v>
      </c>
      <c r="P19" s="296">
        <v>136739</v>
      </c>
      <c r="Q19" s="297">
        <v>23580.400000000001</v>
      </c>
      <c r="R19" s="296">
        <v>104.35899999999999</v>
      </c>
      <c r="S19" s="296"/>
      <c r="T19" s="296"/>
      <c r="V19" s="294"/>
      <c r="W19" s="295"/>
      <c r="X19" s="296"/>
      <c r="Y19" s="296"/>
      <c r="Z19" s="296"/>
      <c r="AA19" s="296"/>
      <c r="AB19" s="296"/>
      <c r="AC19" s="296"/>
      <c r="AD19" s="296"/>
      <c r="AF19" s="294"/>
      <c r="AG19" s="295"/>
      <c r="AH19" s="296" t="s">
        <v>793</v>
      </c>
      <c r="AI19" s="296" t="s">
        <v>788</v>
      </c>
      <c r="AJ19" s="296">
        <v>252186</v>
      </c>
      <c r="AK19" s="297">
        <v>43489.1</v>
      </c>
      <c r="AL19" s="296">
        <v>192.46799999999999</v>
      </c>
      <c r="AM19" s="296"/>
      <c r="AN19" s="296"/>
      <c r="AP19" s="294"/>
      <c r="AQ19" s="295"/>
      <c r="AR19" s="296" t="s">
        <v>793</v>
      </c>
      <c r="AS19" s="296" t="s">
        <v>788</v>
      </c>
      <c r="AT19" s="296">
        <v>63334.6</v>
      </c>
      <c r="AU19" s="297">
        <v>10922</v>
      </c>
      <c r="AV19" s="296">
        <v>48.337000000000003</v>
      </c>
      <c r="AW19" s="296"/>
      <c r="AX19" s="296"/>
      <c r="AY19"/>
      <c r="BA19" s="294"/>
      <c r="BB19" s="295"/>
      <c r="BC19" s="296" t="s">
        <v>793</v>
      </c>
      <c r="BD19" s="296" t="s">
        <v>788</v>
      </c>
      <c r="BE19" s="296">
        <v>136739</v>
      </c>
      <c r="BF19" s="297">
        <v>23580.400000000001</v>
      </c>
      <c r="BG19" s="296">
        <v>104.35899999999999</v>
      </c>
      <c r="BH19" s="296"/>
      <c r="BI19" s="296"/>
      <c r="BL19" s="294"/>
      <c r="BM19" s="295"/>
      <c r="BN19" s="296"/>
      <c r="BO19" s="296"/>
      <c r="BP19" s="296"/>
      <c r="BQ19" s="296"/>
      <c r="BR19" s="296"/>
      <c r="BS19" s="296"/>
      <c r="BT19" s="296"/>
      <c r="BW19" s="294"/>
      <c r="BX19" s="295"/>
      <c r="BY19" s="296" t="s">
        <v>793</v>
      </c>
      <c r="BZ19" s="296" t="s">
        <v>788</v>
      </c>
      <c r="CA19" s="296">
        <v>252186</v>
      </c>
      <c r="CB19" s="297">
        <v>43489.1</v>
      </c>
      <c r="CC19" s="296">
        <v>192.46799999999999</v>
      </c>
      <c r="CD19" s="296"/>
      <c r="CE19" s="296"/>
      <c r="CH19" s="294"/>
      <c r="CI19" s="295"/>
      <c r="CJ19" s="296" t="s">
        <v>793</v>
      </c>
      <c r="CK19" s="296" t="s">
        <v>788</v>
      </c>
      <c r="CL19" s="296">
        <v>63334.6</v>
      </c>
      <c r="CM19" s="297">
        <v>10922</v>
      </c>
      <c r="CN19" s="296">
        <v>48.337000000000003</v>
      </c>
      <c r="CO19" s="296"/>
      <c r="CP19" s="296"/>
      <c r="CS19" s="294"/>
      <c r="CT19" s="295"/>
      <c r="CU19" s="296" t="s">
        <v>793</v>
      </c>
      <c r="CV19" s="296" t="s">
        <v>788</v>
      </c>
      <c r="CW19" s="296">
        <v>136739</v>
      </c>
      <c r="CX19" s="297">
        <v>23580.400000000001</v>
      </c>
      <c r="CY19" s="296">
        <v>104.35899999999999</v>
      </c>
      <c r="CZ19" s="296"/>
      <c r="DA19" s="296"/>
      <c r="DD19" s="294"/>
      <c r="DE19" s="295"/>
      <c r="DF19" s="296"/>
      <c r="DG19" s="296"/>
      <c r="DH19" s="296"/>
      <c r="DI19" s="296"/>
      <c r="DJ19" s="296"/>
      <c r="DK19" s="296"/>
      <c r="DL19" s="296"/>
      <c r="DO19" s="294"/>
      <c r="DP19" s="295"/>
      <c r="DQ19" s="296" t="s">
        <v>793</v>
      </c>
      <c r="DR19" s="296" t="s">
        <v>788</v>
      </c>
      <c r="DS19" s="296">
        <v>252186</v>
      </c>
      <c r="DT19" s="297">
        <v>43489.1</v>
      </c>
      <c r="DU19" s="296">
        <v>192.46799999999999</v>
      </c>
      <c r="DV19" s="296"/>
      <c r="DW19" s="296"/>
      <c r="DZ19" s="294"/>
      <c r="EA19" s="295"/>
      <c r="EB19" s="296" t="s">
        <v>793</v>
      </c>
      <c r="EC19" s="296" t="s">
        <v>788</v>
      </c>
      <c r="ED19" s="296">
        <v>63334.6</v>
      </c>
      <c r="EE19" s="297">
        <v>10922</v>
      </c>
      <c r="EF19" s="296">
        <v>48.337000000000003</v>
      </c>
      <c r="EG19" s="296"/>
      <c r="EH19" s="296"/>
    </row>
    <row r="20" spans="2:138">
      <c r="B20" s="294"/>
      <c r="C20" s="295"/>
      <c r="D20" s="829"/>
      <c r="E20" s="829"/>
      <c r="F20" s="829"/>
      <c r="G20" s="829"/>
      <c r="H20" s="829"/>
      <c r="I20" s="296"/>
      <c r="J20" s="296"/>
      <c r="L20" s="294"/>
      <c r="M20" s="295"/>
      <c r="N20" s="764"/>
      <c r="O20" s="764"/>
      <c r="P20" s="764"/>
      <c r="Q20" s="764"/>
      <c r="R20" s="764"/>
      <c r="S20" s="296"/>
      <c r="T20" s="296"/>
      <c r="V20" s="294"/>
      <c r="W20" s="295"/>
      <c r="X20" s="764"/>
      <c r="Y20" s="764"/>
      <c r="Z20" s="764"/>
      <c r="AA20" s="764"/>
      <c r="AB20" s="764"/>
      <c r="AC20" s="296"/>
      <c r="AD20" s="296"/>
      <c r="AF20" s="294"/>
      <c r="AG20" s="295"/>
      <c r="AH20" s="764"/>
      <c r="AI20" s="764"/>
      <c r="AJ20" s="764"/>
      <c r="AK20" s="764"/>
      <c r="AL20" s="764"/>
      <c r="AM20" s="296"/>
      <c r="AN20" s="296"/>
      <c r="AP20" s="294"/>
      <c r="AQ20" s="295"/>
      <c r="AR20" s="764" t="s">
        <v>1102</v>
      </c>
      <c r="AS20" s="764" t="s">
        <v>171</v>
      </c>
      <c r="AT20" s="764">
        <v>19722.8</v>
      </c>
      <c r="AU20" s="764">
        <v>3397.41</v>
      </c>
      <c r="AV20" s="764">
        <v>15.0525</v>
      </c>
      <c r="AW20" s="764"/>
      <c r="AX20" s="296"/>
      <c r="AY20"/>
      <c r="BA20" s="294"/>
      <c r="BB20" s="295"/>
      <c r="BC20" s="764" t="s">
        <v>567</v>
      </c>
      <c r="BD20" s="764" t="s">
        <v>171</v>
      </c>
      <c r="BE20" s="764">
        <v>281103</v>
      </c>
      <c r="BF20" s="764">
        <v>48422.2</v>
      </c>
      <c r="BG20" s="764">
        <v>214.53800000000001</v>
      </c>
      <c r="BH20" s="764"/>
      <c r="BI20" s="296"/>
      <c r="BL20" s="294"/>
      <c r="BM20" s="295"/>
      <c r="BN20" s="764" t="s">
        <v>1102</v>
      </c>
      <c r="BO20" s="764" t="s">
        <v>171</v>
      </c>
      <c r="BP20" s="764">
        <v>234034</v>
      </c>
      <c r="BQ20" s="764">
        <v>40314.1</v>
      </c>
      <c r="BR20" s="764">
        <v>178.614</v>
      </c>
      <c r="BS20" s="764"/>
      <c r="BT20" s="296"/>
      <c r="BW20" s="294"/>
      <c r="BX20" s="295"/>
      <c r="BY20" s="764" t="s">
        <v>1102</v>
      </c>
      <c r="BZ20" s="764" t="s">
        <v>171</v>
      </c>
      <c r="CA20" s="764">
        <v>206973</v>
      </c>
      <c r="CB20" s="764">
        <v>35652.699999999997</v>
      </c>
      <c r="CC20" s="764">
        <v>157.96199999999999</v>
      </c>
      <c r="CD20" s="764"/>
      <c r="CE20" s="296"/>
      <c r="CH20" s="294"/>
      <c r="CI20" s="295"/>
      <c r="CJ20" s="764"/>
      <c r="CK20" s="764"/>
      <c r="CL20" s="764"/>
      <c r="CM20" s="764"/>
      <c r="CN20" s="764"/>
      <c r="CO20" s="296"/>
      <c r="CP20" s="296"/>
      <c r="CS20" s="294"/>
      <c r="CT20" s="295"/>
      <c r="CU20" s="764"/>
      <c r="CV20" s="764"/>
      <c r="CW20" s="764"/>
      <c r="CX20" s="764"/>
      <c r="CY20" s="764"/>
      <c r="CZ20" s="296"/>
      <c r="DA20" s="296"/>
      <c r="DD20" s="294"/>
      <c r="DE20" s="295"/>
      <c r="DF20" s="764"/>
      <c r="DG20" s="764"/>
      <c r="DH20" s="764"/>
      <c r="DI20" s="764"/>
      <c r="DJ20" s="764"/>
      <c r="DK20" s="296"/>
      <c r="DL20" s="296"/>
      <c r="DO20" s="294"/>
      <c r="DP20" s="295"/>
      <c r="DQ20" s="764"/>
      <c r="DR20" s="764"/>
      <c r="DS20" s="764"/>
      <c r="DT20" s="764"/>
      <c r="DU20" s="764"/>
      <c r="DV20" s="296"/>
      <c r="DW20" s="296"/>
      <c r="DZ20" s="294"/>
      <c r="EA20" s="295"/>
      <c r="EB20" s="764" t="s">
        <v>566</v>
      </c>
      <c r="EC20" s="764" t="s">
        <v>171</v>
      </c>
      <c r="ED20" s="764">
        <v>2313.69</v>
      </c>
      <c r="EE20" s="764">
        <v>398.55099999999999</v>
      </c>
      <c r="EF20" s="764">
        <v>1.7658</v>
      </c>
      <c r="EG20" s="764"/>
      <c r="EH20" s="296"/>
    </row>
    <row r="21" spans="2:138">
      <c r="B21" s="294"/>
      <c r="C21" s="295"/>
      <c r="D21" s="829"/>
      <c r="E21" s="829"/>
      <c r="F21" s="829"/>
      <c r="G21" s="829"/>
      <c r="H21" s="829"/>
      <c r="I21" s="296"/>
      <c r="J21" s="296"/>
      <c r="L21" s="294"/>
      <c r="M21" s="295"/>
      <c r="N21" s="764"/>
      <c r="O21" s="764"/>
      <c r="P21" s="764"/>
      <c r="Q21" s="764"/>
      <c r="R21" s="764"/>
      <c r="S21" s="296"/>
      <c r="T21" s="296"/>
      <c r="V21" s="294"/>
      <c r="W21" s="295"/>
      <c r="X21" s="764"/>
      <c r="Y21" s="764"/>
      <c r="Z21" s="764"/>
      <c r="AA21" s="764"/>
      <c r="AB21" s="764"/>
      <c r="AC21" s="296"/>
      <c r="AD21" s="296"/>
      <c r="AF21" s="294"/>
      <c r="AG21" s="295"/>
      <c r="AH21" s="764"/>
      <c r="AI21" s="764"/>
      <c r="AJ21" s="764"/>
      <c r="AK21" s="764"/>
      <c r="AL21" s="764"/>
      <c r="AM21" s="296"/>
      <c r="AN21" s="296"/>
      <c r="AP21" s="294"/>
      <c r="AQ21" s="295"/>
      <c r="AR21" s="764" t="s">
        <v>1249</v>
      </c>
      <c r="AS21" s="764" t="s">
        <v>171</v>
      </c>
      <c r="AT21" s="764">
        <v>284996</v>
      </c>
      <c r="AU21" s="764">
        <v>49092.800000000003</v>
      </c>
      <c r="AV21" s="764">
        <v>217.50899999999999</v>
      </c>
      <c r="AW21" s="764"/>
      <c r="AX21" s="296"/>
      <c r="AY21"/>
      <c r="BA21" s="294"/>
      <c r="BB21" s="295"/>
      <c r="BC21" s="764" t="s">
        <v>1102</v>
      </c>
      <c r="BD21" s="764" t="s">
        <v>171</v>
      </c>
      <c r="BE21" s="764">
        <v>16390.900000000001</v>
      </c>
      <c r="BF21" s="764">
        <v>2823.46</v>
      </c>
      <c r="BG21" s="764">
        <v>12.509499999999999</v>
      </c>
      <c r="BH21" s="764"/>
      <c r="BI21" s="296"/>
      <c r="BL21" s="294"/>
      <c r="BM21" s="295"/>
      <c r="BN21" s="764" t="s">
        <v>1248</v>
      </c>
      <c r="BO21" s="764" t="s">
        <v>171</v>
      </c>
      <c r="BP21" s="764">
        <v>34853.9</v>
      </c>
      <c r="BQ21" s="764">
        <v>6003.85</v>
      </c>
      <c r="BR21" s="764">
        <v>26.6005</v>
      </c>
      <c r="BS21" s="764"/>
      <c r="BT21" s="296"/>
      <c r="BW21" s="294"/>
      <c r="BX21" s="295"/>
      <c r="BY21" s="764" t="s">
        <v>1248</v>
      </c>
      <c r="BZ21" s="764" t="s">
        <v>171</v>
      </c>
      <c r="CA21" s="764">
        <v>13443.2</v>
      </c>
      <c r="CB21" s="764">
        <v>2315.6999999999998</v>
      </c>
      <c r="CC21" s="764">
        <v>10.2599</v>
      </c>
      <c r="CD21" s="764"/>
      <c r="CE21" s="296"/>
      <c r="CH21" s="294"/>
      <c r="CI21" s="295"/>
      <c r="CJ21" s="764"/>
      <c r="CK21" s="764"/>
      <c r="CL21" s="764"/>
      <c r="CM21" s="764"/>
      <c r="CN21" s="764"/>
      <c r="CO21" s="296"/>
      <c r="CP21" s="296"/>
      <c r="CS21" s="294"/>
      <c r="CT21" s="295"/>
      <c r="CU21" s="764"/>
      <c r="CV21" s="764"/>
      <c r="CW21" s="764"/>
      <c r="CX21" s="764"/>
      <c r="CY21" s="764"/>
      <c r="CZ21" s="296"/>
      <c r="DA21" s="296"/>
      <c r="DD21" s="294"/>
      <c r="DE21" s="295"/>
      <c r="DF21" s="764"/>
      <c r="DG21" s="764"/>
      <c r="DH21" s="764"/>
      <c r="DI21" s="764"/>
      <c r="DJ21" s="764"/>
      <c r="DK21" s="296"/>
      <c r="DL21" s="296"/>
      <c r="DO21" s="294"/>
      <c r="DP21" s="295"/>
      <c r="DQ21" s="764"/>
      <c r="DR21" s="764"/>
      <c r="DS21" s="764"/>
      <c r="DT21" s="764"/>
      <c r="DU21" s="764"/>
      <c r="DV21" s="296"/>
      <c r="DW21" s="296"/>
      <c r="DZ21" s="294"/>
      <c r="EA21" s="295"/>
      <c r="EB21" s="764" t="s">
        <v>567</v>
      </c>
      <c r="EC21" s="764" t="s">
        <v>171</v>
      </c>
      <c r="ED21" s="764">
        <v>98.750100000000003</v>
      </c>
      <c r="EE21" s="764">
        <v>17.0105</v>
      </c>
      <c r="EF21" s="764">
        <v>7.5366100000000005E-2</v>
      </c>
      <c r="EG21" s="764"/>
      <c r="EH21" s="296"/>
    </row>
    <row r="22" spans="2:138">
      <c r="B22" s="294"/>
      <c r="C22" s="295"/>
      <c r="D22" s="829"/>
      <c r="E22" s="829"/>
      <c r="F22" s="829"/>
      <c r="G22" s="829"/>
      <c r="H22" s="829"/>
      <c r="I22" s="296"/>
      <c r="J22" s="296"/>
      <c r="L22" s="294"/>
      <c r="M22" s="295"/>
      <c r="N22" s="764"/>
      <c r="O22" s="764"/>
      <c r="P22" s="764"/>
      <c r="Q22" s="764"/>
      <c r="R22" s="764"/>
      <c r="S22" s="296"/>
      <c r="T22" s="296"/>
      <c r="V22" s="294"/>
      <c r="W22" s="295"/>
      <c r="X22" s="764"/>
      <c r="Y22" s="764"/>
      <c r="Z22" s="764"/>
      <c r="AA22" s="764"/>
      <c r="AB22" s="764"/>
      <c r="AC22" s="296"/>
      <c r="AD22" s="296"/>
      <c r="AF22" s="294"/>
      <c r="AG22" s="295"/>
      <c r="AH22" s="764"/>
      <c r="AI22" s="764"/>
      <c r="AJ22" s="764"/>
      <c r="AK22" s="764"/>
      <c r="AL22" s="764"/>
      <c r="AM22" s="296"/>
      <c r="AN22" s="296"/>
      <c r="AP22" s="294"/>
      <c r="AQ22" s="295"/>
      <c r="AR22" s="764" t="s">
        <v>1127</v>
      </c>
      <c r="AS22" s="764" t="s">
        <v>171</v>
      </c>
      <c r="AT22" s="764">
        <v>570966</v>
      </c>
      <c r="AU22" s="764">
        <v>98353.4</v>
      </c>
      <c r="AV22" s="764">
        <v>435.76100000000002</v>
      </c>
      <c r="AW22" s="764"/>
      <c r="AX22" s="296"/>
      <c r="AY22"/>
      <c r="BA22" s="294"/>
      <c r="BB22" s="295"/>
      <c r="BC22" s="764" t="s">
        <v>1127</v>
      </c>
      <c r="BD22" s="764" t="s">
        <v>171</v>
      </c>
      <c r="BE22" s="764">
        <v>494811</v>
      </c>
      <c r="BF22" s="764">
        <v>85235.1</v>
      </c>
      <c r="BG22" s="764">
        <v>377.64</v>
      </c>
      <c r="BH22" s="764"/>
      <c r="BI22" s="296"/>
      <c r="BL22" s="294"/>
      <c r="BM22" s="295"/>
      <c r="BN22" s="764" t="s">
        <v>1127</v>
      </c>
      <c r="BO22" s="764" t="s">
        <v>171</v>
      </c>
      <c r="BP22" s="764">
        <v>374000</v>
      </c>
      <c r="BQ22" s="764">
        <v>64424.5</v>
      </c>
      <c r="BR22" s="764">
        <v>285.43700000000001</v>
      </c>
      <c r="BS22" s="764"/>
      <c r="BT22" s="296"/>
      <c r="BW22" s="294"/>
      <c r="BX22" s="295"/>
      <c r="BY22" s="764" t="s">
        <v>1127</v>
      </c>
      <c r="BZ22" s="764" t="s">
        <v>171</v>
      </c>
      <c r="CA22" s="764">
        <v>356512</v>
      </c>
      <c r="CB22" s="764">
        <v>61411.9</v>
      </c>
      <c r="CC22" s="764">
        <v>272.08999999999997</v>
      </c>
      <c r="CD22" s="764"/>
      <c r="CE22" s="296"/>
      <c r="CH22" s="294"/>
      <c r="CI22" s="295"/>
      <c r="CJ22" s="764"/>
      <c r="CK22" s="764"/>
      <c r="CL22" s="764"/>
      <c r="CM22" s="764"/>
      <c r="CN22" s="764"/>
      <c r="CO22" s="296"/>
      <c r="CP22" s="296"/>
      <c r="CS22" s="294"/>
      <c r="CT22" s="295"/>
      <c r="CU22" s="764"/>
      <c r="CV22" s="764"/>
      <c r="CW22" s="764"/>
      <c r="CX22" s="764"/>
      <c r="CY22" s="764"/>
      <c r="CZ22" s="296"/>
      <c r="DA22" s="296"/>
      <c r="DD22" s="294"/>
      <c r="DE22" s="295"/>
      <c r="DF22" s="764"/>
      <c r="DG22" s="764"/>
      <c r="DH22" s="764"/>
      <c r="DI22" s="764"/>
      <c r="DJ22" s="764"/>
      <c r="DK22" s="296"/>
      <c r="DL22" s="296"/>
      <c r="DO22" s="294"/>
      <c r="DP22" s="295"/>
      <c r="DQ22" s="764"/>
      <c r="DR22" s="764"/>
      <c r="DS22" s="764"/>
      <c r="DT22" s="764"/>
      <c r="DU22" s="764"/>
      <c r="DV22" s="296"/>
      <c r="DW22" s="296"/>
      <c r="DZ22" s="294"/>
      <c r="EA22" s="295"/>
      <c r="EB22" s="764" t="s">
        <v>1127</v>
      </c>
      <c r="EC22" s="764" t="s">
        <v>171</v>
      </c>
      <c r="ED22" s="764">
        <v>13324.2</v>
      </c>
      <c r="EE22" s="764">
        <v>2295.21</v>
      </c>
      <c r="EF22" s="764">
        <v>10.1691</v>
      </c>
      <c r="EG22" s="764"/>
      <c r="EH22" s="296"/>
    </row>
    <row r="23" spans="2:138">
      <c r="B23" s="294"/>
      <c r="C23" s="295"/>
      <c r="D23" s="829"/>
      <c r="E23" s="829"/>
      <c r="F23" s="829"/>
      <c r="G23" s="829"/>
      <c r="H23" s="829"/>
      <c r="I23" s="296"/>
      <c r="J23" s="296"/>
      <c r="L23" s="294"/>
      <c r="M23" s="295"/>
      <c r="N23" s="829"/>
      <c r="O23" s="829"/>
      <c r="P23" s="829"/>
      <c r="Q23" s="829"/>
      <c r="R23" s="829"/>
      <c r="S23" s="296"/>
      <c r="T23" s="296"/>
      <c r="V23" s="294"/>
      <c r="W23" s="295"/>
      <c r="X23" s="829"/>
      <c r="Y23" s="829"/>
      <c r="Z23" s="829"/>
      <c r="AA23" s="829"/>
      <c r="AB23" s="829"/>
      <c r="AC23" s="296"/>
      <c r="AD23" s="296"/>
      <c r="AF23" s="294"/>
      <c r="AG23" s="295"/>
      <c r="AH23" s="829"/>
      <c r="AI23" s="829"/>
      <c r="AJ23" s="829"/>
      <c r="AK23" s="829"/>
      <c r="AL23" s="829"/>
      <c r="AM23" s="296"/>
      <c r="AN23" s="296"/>
      <c r="AP23" s="294"/>
      <c r="AQ23" s="295"/>
      <c r="AR23" s="885" t="s">
        <v>1076</v>
      </c>
      <c r="AS23" s="885" t="s">
        <v>172</v>
      </c>
      <c r="AT23" s="885">
        <v>61979.9</v>
      </c>
      <c r="AU23" s="885">
        <v>10676.5</v>
      </c>
      <c r="AV23" s="885">
        <v>47.303100000000001</v>
      </c>
      <c r="AW23" s="764"/>
      <c r="AX23" s="296"/>
      <c r="AY23"/>
      <c r="BA23" s="294"/>
      <c r="BB23" s="295"/>
      <c r="BC23" s="885" t="s">
        <v>1076</v>
      </c>
      <c r="BD23" s="885" t="s">
        <v>172</v>
      </c>
      <c r="BE23" s="885">
        <v>53273.599999999999</v>
      </c>
      <c r="BF23" s="885">
        <v>9176.7900000000009</v>
      </c>
      <c r="BG23" s="885">
        <v>40.6584</v>
      </c>
      <c r="BH23" s="764"/>
      <c r="BI23" s="296"/>
      <c r="BL23" s="294"/>
      <c r="BM23" s="295"/>
      <c r="BN23" s="885" t="s">
        <v>1076</v>
      </c>
      <c r="BO23" s="885" t="s">
        <v>172</v>
      </c>
      <c r="BP23" s="885">
        <v>50034.8</v>
      </c>
      <c r="BQ23" s="885">
        <v>8618.89</v>
      </c>
      <c r="BR23" s="885">
        <v>38.186500000000002</v>
      </c>
      <c r="BS23" s="764"/>
      <c r="BT23" s="296"/>
      <c r="BW23" s="294"/>
      <c r="BX23" s="295"/>
      <c r="BY23" s="885" t="s">
        <v>1076</v>
      </c>
      <c r="BZ23" s="885" t="s">
        <v>172</v>
      </c>
      <c r="CA23" s="885">
        <v>42022.9</v>
      </c>
      <c r="CB23" s="885">
        <v>7238.78</v>
      </c>
      <c r="CC23" s="885">
        <v>32.071899999999999</v>
      </c>
      <c r="CD23" s="764"/>
      <c r="CE23" s="296"/>
      <c r="CH23" s="294"/>
      <c r="CI23" s="295"/>
      <c r="CJ23" s="827"/>
      <c r="CK23" s="827"/>
      <c r="CL23" s="827"/>
      <c r="CM23" s="827"/>
      <c r="CN23" s="827"/>
      <c r="CO23" s="296"/>
      <c r="CP23" s="296"/>
      <c r="CS23" s="294"/>
      <c r="CT23" s="295"/>
      <c r="CU23" s="827"/>
      <c r="CV23" s="827"/>
      <c r="CW23" s="827"/>
      <c r="CX23" s="827"/>
      <c r="CY23" s="827"/>
      <c r="CZ23" s="296"/>
      <c r="DA23" s="296"/>
      <c r="DD23" s="294"/>
      <c r="DE23" s="295"/>
      <c r="DF23" s="829"/>
      <c r="DG23" s="829"/>
      <c r="DH23" s="829"/>
      <c r="DI23" s="829"/>
      <c r="DJ23" s="829"/>
      <c r="DK23" s="296"/>
      <c r="DL23" s="296"/>
      <c r="DO23" s="294"/>
      <c r="DP23" s="295"/>
      <c r="DQ23" s="829"/>
      <c r="DR23" s="829"/>
      <c r="DS23" s="829"/>
      <c r="DT23" s="829"/>
      <c r="DU23" s="829"/>
      <c r="DV23" s="296"/>
      <c r="DW23" s="296"/>
      <c r="DZ23" s="294"/>
      <c r="EA23" s="295"/>
      <c r="EB23" s="885" t="s">
        <v>1076</v>
      </c>
      <c r="EC23" s="885" t="s">
        <v>172</v>
      </c>
      <c r="ED23" s="885">
        <v>1725.6</v>
      </c>
      <c r="EE23" s="885">
        <v>297.24900000000002</v>
      </c>
      <c r="EF23" s="885">
        <v>1.31698</v>
      </c>
      <c r="EG23" s="764"/>
      <c r="EH23" s="296"/>
    </row>
    <row r="24" spans="2:138">
      <c r="B24" s="294"/>
      <c r="C24" s="295"/>
      <c r="D24" s="829"/>
      <c r="E24" s="829"/>
      <c r="F24" s="829"/>
      <c r="G24" s="829"/>
      <c r="H24" s="829"/>
      <c r="I24" s="296"/>
      <c r="J24" s="296"/>
      <c r="L24" s="294"/>
      <c r="M24" s="295"/>
      <c r="N24" s="829"/>
      <c r="O24" s="829"/>
      <c r="P24" s="829"/>
      <c r="Q24" s="829"/>
      <c r="R24" s="829"/>
      <c r="S24" s="296"/>
      <c r="T24" s="296"/>
      <c r="V24" s="294"/>
      <c r="W24" s="295"/>
      <c r="X24" s="829"/>
      <c r="Y24" s="829"/>
      <c r="Z24" s="829"/>
      <c r="AA24" s="829"/>
      <c r="AB24" s="829"/>
      <c r="AC24" s="296"/>
      <c r="AD24" s="296"/>
      <c r="AF24" s="294"/>
      <c r="AG24" s="295"/>
      <c r="AH24" s="829"/>
      <c r="AI24" s="829"/>
      <c r="AJ24" s="829"/>
      <c r="AK24" s="829"/>
      <c r="AL24" s="829"/>
      <c r="AM24" s="296"/>
      <c r="AN24" s="296"/>
      <c r="AP24" s="294"/>
      <c r="AQ24" s="295"/>
      <c r="AR24" s="829"/>
      <c r="AS24" s="829"/>
      <c r="AT24" s="829"/>
      <c r="AU24" s="829"/>
      <c r="AV24" s="829"/>
      <c r="AW24" s="296"/>
      <c r="AX24" s="296"/>
      <c r="AY24"/>
      <c r="BA24" s="294"/>
      <c r="BB24" s="295"/>
      <c r="BC24" s="829"/>
      <c r="BD24" s="829"/>
      <c r="BE24" s="829"/>
      <c r="BF24" s="829"/>
      <c r="BG24" s="829"/>
      <c r="BH24" s="296"/>
      <c r="BI24" s="296"/>
      <c r="BL24" s="294"/>
      <c r="BM24" s="295"/>
      <c r="BN24" s="829"/>
      <c r="BO24" s="829"/>
      <c r="BP24" s="829"/>
      <c r="BQ24" s="829"/>
      <c r="BR24" s="829"/>
      <c r="BS24" s="296"/>
      <c r="BT24" s="296"/>
      <c r="BW24" s="294"/>
      <c r="BX24" s="295"/>
      <c r="BY24" s="829"/>
      <c r="BZ24" s="829"/>
      <c r="CA24" s="829"/>
      <c r="CB24" s="829"/>
      <c r="CC24" s="829"/>
      <c r="CD24" s="296"/>
      <c r="CE24" s="296"/>
      <c r="CH24" s="294"/>
      <c r="CI24" s="295"/>
      <c r="CJ24" s="827"/>
      <c r="CK24" s="827"/>
      <c r="CL24" s="827"/>
      <c r="CM24" s="827"/>
      <c r="CN24" s="827"/>
      <c r="CO24" s="296"/>
      <c r="CP24" s="296"/>
      <c r="CS24" s="294"/>
      <c r="CT24" s="295"/>
      <c r="CU24" s="827"/>
      <c r="CV24" s="827"/>
      <c r="CW24" s="827"/>
      <c r="CX24" s="827"/>
      <c r="CY24" s="827"/>
      <c r="CZ24" s="296"/>
      <c r="DA24" s="296"/>
      <c r="DD24" s="294"/>
      <c r="DE24" s="295"/>
      <c r="DF24" s="829"/>
      <c r="DG24" s="829"/>
      <c r="DH24" s="829"/>
      <c r="DI24" s="829"/>
      <c r="DJ24" s="829"/>
      <c r="DK24" s="296"/>
      <c r="DL24" s="296"/>
      <c r="DO24" s="294"/>
      <c r="DP24" s="295"/>
      <c r="DQ24" s="829"/>
      <c r="DR24" s="829"/>
      <c r="DS24" s="829"/>
      <c r="DT24" s="829"/>
      <c r="DU24" s="829"/>
      <c r="DV24" s="296"/>
      <c r="DW24" s="296"/>
      <c r="DZ24" s="294"/>
      <c r="EA24" s="295"/>
      <c r="EB24" s="829"/>
      <c r="EC24" s="829"/>
      <c r="ED24" s="829"/>
      <c r="EE24" s="829"/>
      <c r="EF24" s="829"/>
      <c r="EG24" s="296"/>
      <c r="EH24" s="296"/>
    </row>
    <row r="25" spans="2:138">
      <c r="B25" s="294"/>
      <c r="C25" s="295"/>
      <c r="D25" s="829"/>
      <c r="E25" s="829"/>
      <c r="F25" s="829"/>
      <c r="G25" s="829"/>
      <c r="H25" s="829"/>
      <c r="I25" s="296"/>
      <c r="J25" s="296"/>
      <c r="L25" s="294"/>
      <c r="M25" s="295"/>
      <c r="N25" s="829"/>
      <c r="O25" s="829"/>
      <c r="P25" s="829"/>
      <c r="Q25" s="829"/>
      <c r="R25" s="829"/>
      <c r="S25" s="296"/>
      <c r="T25" s="296"/>
      <c r="V25" s="294"/>
      <c r="W25" s="295"/>
      <c r="X25" s="829"/>
      <c r="Y25" s="829"/>
      <c r="Z25" s="829"/>
      <c r="AA25" s="829"/>
      <c r="AB25" s="829"/>
      <c r="AC25" s="296"/>
      <c r="AD25" s="296"/>
      <c r="AF25" s="294"/>
      <c r="AG25" s="295"/>
      <c r="AH25" s="829"/>
      <c r="AI25" s="829"/>
      <c r="AJ25" s="829"/>
      <c r="AK25" s="829"/>
      <c r="AL25" s="829"/>
      <c r="AM25" s="296"/>
      <c r="AN25" s="296"/>
      <c r="AP25" s="294"/>
      <c r="AQ25" s="295"/>
      <c r="AR25" s="829"/>
      <c r="AS25" s="829"/>
      <c r="AT25" s="829"/>
      <c r="AU25" s="829"/>
      <c r="AV25" s="829"/>
      <c r="AW25" s="296"/>
      <c r="AX25" s="296"/>
      <c r="AY25"/>
      <c r="BA25" s="294"/>
      <c r="BB25" s="295"/>
      <c r="BC25" s="829"/>
      <c r="BD25" s="829"/>
      <c r="BE25" s="829"/>
      <c r="BF25" s="829"/>
      <c r="BG25" s="829"/>
      <c r="BH25" s="296"/>
      <c r="BI25" s="296"/>
      <c r="BL25" s="294"/>
      <c r="BM25" s="295"/>
      <c r="BN25" s="829"/>
      <c r="BO25" s="829"/>
      <c r="BP25" s="829"/>
      <c r="BQ25" s="829"/>
      <c r="BR25" s="829"/>
      <c r="BS25" s="296"/>
      <c r="BT25" s="296"/>
      <c r="BW25" s="294"/>
      <c r="BX25" s="295"/>
      <c r="BY25" s="829"/>
      <c r="BZ25" s="829"/>
      <c r="CA25" s="829"/>
      <c r="CB25" s="829"/>
      <c r="CC25" s="829"/>
      <c r="CD25" s="296"/>
      <c r="CE25" s="296"/>
      <c r="CH25" s="294"/>
      <c r="CI25" s="295"/>
      <c r="CJ25" s="827"/>
      <c r="CK25" s="827"/>
      <c r="CL25" s="827"/>
      <c r="CM25" s="827"/>
      <c r="CN25" s="827"/>
      <c r="CO25" s="296"/>
      <c r="CP25" s="296"/>
      <c r="CS25" s="294"/>
      <c r="CT25" s="295"/>
      <c r="CU25" s="827"/>
      <c r="CV25" s="827"/>
      <c r="CW25" s="827"/>
      <c r="CX25" s="827"/>
      <c r="CY25" s="827"/>
      <c r="CZ25" s="296"/>
      <c r="DA25" s="296"/>
      <c r="DD25" s="294"/>
      <c r="DE25" s="295"/>
      <c r="DF25" s="829"/>
      <c r="DG25" s="829"/>
      <c r="DH25" s="829"/>
      <c r="DI25" s="829"/>
      <c r="DJ25" s="829"/>
      <c r="DK25" s="296"/>
      <c r="DL25" s="296"/>
      <c r="DO25" s="294"/>
      <c r="DP25" s="295"/>
      <c r="DQ25" s="829"/>
      <c r="DR25" s="829"/>
      <c r="DS25" s="829"/>
      <c r="DT25" s="829"/>
      <c r="DU25" s="829"/>
      <c r="DV25" s="296"/>
      <c r="DW25" s="296"/>
      <c r="DZ25" s="294"/>
      <c r="EA25" s="295"/>
      <c r="EB25" s="829"/>
      <c r="EC25" s="829"/>
      <c r="ED25" s="829"/>
      <c r="EE25" s="829"/>
      <c r="EF25" s="829"/>
      <c r="EG25" s="296"/>
      <c r="EH25" s="296"/>
    </row>
    <row r="26" spans="2:138">
      <c r="B26" s="298" t="s">
        <v>183</v>
      </c>
      <c r="C26" s="299"/>
      <c r="D26" s="300" t="s">
        <v>175</v>
      </c>
      <c r="E26" s="300" t="s">
        <v>176</v>
      </c>
      <c r="F26" s="300" t="s">
        <v>177</v>
      </c>
      <c r="G26" s="300" t="s">
        <v>178</v>
      </c>
      <c r="H26" s="300" t="s">
        <v>179</v>
      </c>
      <c r="I26" s="300" t="s">
        <v>180</v>
      </c>
      <c r="J26" s="300"/>
      <c r="L26" s="298" t="s">
        <v>183</v>
      </c>
      <c r="M26" s="299"/>
      <c r="N26" s="300" t="s">
        <v>175</v>
      </c>
      <c r="O26" s="300" t="s">
        <v>176</v>
      </c>
      <c r="P26" s="300" t="s">
        <v>177</v>
      </c>
      <c r="Q26" s="300" t="s">
        <v>178</v>
      </c>
      <c r="R26" s="300" t="s">
        <v>179</v>
      </c>
      <c r="S26" s="300" t="s">
        <v>180</v>
      </c>
      <c r="T26" s="300"/>
      <c r="V26" s="298" t="s">
        <v>183</v>
      </c>
      <c r="W26" s="299"/>
      <c r="X26" s="300" t="s">
        <v>175</v>
      </c>
      <c r="Y26" s="300" t="s">
        <v>176</v>
      </c>
      <c r="Z26" s="300" t="s">
        <v>177</v>
      </c>
      <c r="AA26" s="300" t="s">
        <v>178</v>
      </c>
      <c r="AB26" s="300" t="s">
        <v>179</v>
      </c>
      <c r="AC26" s="300" t="s">
        <v>180</v>
      </c>
      <c r="AD26" s="300"/>
      <c r="AF26" s="298" t="s">
        <v>183</v>
      </c>
      <c r="AG26" s="299"/>
      <c r="AH26" s="300" t="s">
        <v>175</v>
      </c>
      <c r="AI26" s="300" t="s">
        <v>176</v>
      </c>
      <c r="AJ26" s="300" t="s">
        <v>177</v>
      </c>
      <c r="AK26" s="300" t="s">
        <v>178</v>
      </c>
      <c r="AL26" s="300" t="s">
        <v>179</v>
      </c>
      <c r="AM26" s="300" t="s">
        <v>180</v>
      </c>
      <c r="AN26" s="300"/>
      <c r="AP26" s="298" t="s">
        <v>183</v>
      </c>
      <c r="AQ26" s="299"/>
      <c r="AR26" s="300" t="s">
        <v>175</v>
      </c>
      <c r="AS26" s="300" t="s">
        <v>176</v>
      </c>
      <c r="AT26" s="300" t="s">
        <v>177</v>
      </c>
      <c r="AU26" s="300" t="s">
        <v>178</v>
      </c>
      <c r="AV26" s="300" t="s">
        <v>179</v>
      </c>
      <c r="AW26" s="300" t="s">
        <v>180</v>
      </c>
      <c r="AX26" s="300"/>
      <c r="AY26"/>
      <c r="BA26" s="298" t="s">
        <v>183</v>
      </c>
      <c r="BB26" s="299"/>
      <c r="BC26" s="300" t="s">
        <v>175</v>
      </c>
      <c r="BD26" s="300" t="s">
        <v>176</v>
      </c>
      <c r="BE26" s="300" t="s">
        <v>177</v>
      </c>
      <c r="BF26" s="300" t="s">
        <v>178</v>
      </c>
      <c r="BG26" s="300" t="s">
        <v>179</v>
      </c>
      <c r="BH26" s="300" t="s">
        <v>180</v>
      </c>
      <c r="BI26" s="300"/>
      <c r="BL26" s="298" t="s">
        <v>183</v>
      </c>
      <c r="BM26" s="299"/>
      <c r="BN26" s="300" t="s">
        <v>175</v>
      </c>
      <c r="BO26" s="300" t="s">
        <v>176</v>
      </c>
      <c r="BP26" s="300" t="s">
        <v>177</v>
      </c>
      <c r="BQ26" s="300" t="s">
        <v>178</v>
      </c>
      <c r="BR26" s="300" t="s">
        <v>179</v>
      </c>
      <c r="BS26" s="300" t="s">
        <v>180</v>
      </c>
      <c r="BT26" s="300"/>
      <c r="BW26" s="298" t="s">
        <v>183</v>
      </c>
      <c r="BX26" s="299"/>
      <c r="BY26" s="300" t="s">
        <v>175</v>
      </c>
      <c r="BZ26" s="300" t="s">
        <v>176</v>
      </c>
      <c r="CA26" s="300" t="s">
        <v>177</v>
      </c>
      <c r="CB26" s="300" t="s">
        <v>178</v>
      </c>
      <c r="CC26" s="300" t="s">
        <v>179</v>
      </c>
      <c r="CD26" s="300" t="s">
        <v>180</v>
      </c>
      <c r="CE26" s="300"/>
      <c r="CH26" s="298" t="s">
        <v>183</v>
      </c>
      <c r="CI26" s="299"/>
      <c r="CJ26" s="300" t="s">
        <v>175</v>
      </c>
      <c r="CK26" s="300" t="s">
        <v>176</v>
      </c>
      <c r="CL26" s="300" t="s">
        <v>177</v>
      </c>
      <c r="CM26" s="300" t="s">
        <v>178</v>
      </c>
      <c r="CN26" s="300" t="s">
        <v>179</v>
      </c>
      <c r="CO26" s="300" t="s">
        <v>180</v>
      </c>
      <c r="CP26" s="300"/>
      <c r="CS26" s="298" t="s">
        <v>183</v>
      </c>
      <c r="CT26" s="299"/>
      <c r="CU26" s="300" t="s">
        <v>175</v>
      </c>
      <c r="CV26" s="300" t="s">
        <v>176</v>
      </c>
      <c r="CW26" s="300" t="s">
        <v>177</v>
      </c>
      <c r="CX26" s="300" t="s">
        <v>178</v>
      </c>
      <c r="CY26" s="300" t="s">
        <v>179</v>
      </c>
      <c r="CZ26" s="300" t="s">
        <v>180</v>
      </c>
      <c r="DA26" s="300"/>
      <c r="DD26" s="298" t="s">
        <v>183</v>
      </c>
      <c r="DE26" s="299"/>
      <c r="DF26" s="300" t="s">
        <v>175</v>
      </c>
      <c r="DG26" s="300" t="s">
        <v>176</v>
      </c>
      <c r="DH26" s="300" t="s">
        <v>177</v>
      </c>
      <c r="DI26" s="300" t="s">
        <v>178</v>
      </c>
      <c r="DJ26" s="300" t="s">
        <v>179</v>
      </c>
      <c r="DK26" s="300" t="s">
        <v>180</v>
      </c>
      <c r="DL26" s="300"/>
      <c r="DO26" s="298" t="s">
        <v>183</v>
      </c>
      <c r="DP26" s="299"/>
      <c r="DQ26" s="300" t="s">
        <v>175</v>
      </c>
      <c r="DR26" s="300" t="s">
        <v>176</v>
      </c>
      <c r="DS26" s="300" t="s">
        <v>177</v>
      </c>
      <c r="DT26" s="300" t="s">
        <v>178</v>
      </c>
      <c r="DU26" s="300" t="s">
        <v>179</v>
      </c>
      <c r="DV26" s="300" t="s">
        <v>180</v>
      </c>
      <c r="DW26" s="300"/>
      <c r="DZ26" s="298" t="s">
        <v>183</v>
      </c>
      <c r="EA26" s="299"/>
      <c r="EB26" s="300" t="s">
        <v>175</v>
      </c>
      <c r="EC26" s="300" t="s">
        <v>176</v>
      </c>
      <c r="ED26" s="300" t="s">
        <v>177</v>
      </c>
      <c r="EE26" s="300" t="s">
        <v>178</v>
      </c>
      <c r="EF26" s="300" t="s">
        <v>179</v>
      </c>
      <c r="EG26" s="300" t="s">
        <v>180</v>
      </c>
      <c r="EH26" s="300"/>
    </row>
    <row r="27" spans="2:138">
      <c r="B27" s="298">
        <f>SUM(G28:G35)</f>
        <v>969998</v>
      </c>
      <c r="C27" s="299" t="s">
        <v>657</v>
      </c>
      <c r="D27" s="300"/>
      <c r="E27" s="300"/>
      <c r="F27" s="300" t="s">
        <v>181</v>
      </c>
      <c r="G27" s="300" t="s">
        <v>181</v>
      </c>
      <c r="H27" s="300" t="s">
        <v>86</v>
      </c>
      <c r="I27" s="300" t="s">
        <v>119</v>
      </c>
      <c r="J27" s="300"/>
      <c r="L27" s="298">
        <f>SUM(Q28:Q35)</f>
        <v>705579</v>
      </c>
      <c r="M27" s="299" t="s">
        <v>657</v>
      </c>
      <c r="N27" s="300"/>
      <c r="O27" s="300"/>
      <c r="P27" s="300" t="s">
        <v>181</v>
      </c>
      <c r="Q27" s="300" t="s">
        <v>181</v>
      </c>
      <c r="R27" s="300" t="s">
        <v>86</v>
      </c>
      <c r="S27" s="300" t="s">
        <v>119</v>
      </c>
      <c r="T27" s="300"/>
      <c r="V27" s="298">
        <f>SUM(AA28:AA35)</f>
        <v>511184</v>
      </c>
      <c r="W27" s="299" t="s">
        <v>657</v>
      </c>
      <c r="X27" s="300"/>
      <c r="Y27" s="300"/>
      <c r="Z27" s="300" t="s">
        <v>181</v>
      </c>
      <c r="AA27" s="300" t="s">
        <v>181</v>
      </c>
      <c r="AB27" s="300" t="s">
        <v>86</v>
      </c>
      <c r="AC27" s="300" t="s">
        <v>119</v>
      </c>
      <c r="AD27" s="300"/>
      <c r="AF27" s="298">
        <f>SUM(AK28:AK35)</f>
        <v>386920</v>
      </c>
      <c r="AG27" s="299" t="s">
        <v>657</v>
      </c>
      <c r="AH27" s="300"/>
      <c r="AI27" s="300"/>
      <c r="AJ27" s="300" t="s">
        <v>181</v>
      </c>
      <c r="AK27" s="300" t="s">
        <v>181</v>
      </c>
      <c r="AL27" s="300" t="s">
        <v>86</v>
      </c>
      <c r="AM27" s="300" t="s">
        <v>119</v>
      </c>
      <c r="AN27" s="300"/>
      <c r="AP27" s="298">
        <f>SUM(AU28:AU35)</f>
        <v>1029961.338</v>
      </c>
      <c r="AQ27" s="299" t="s">
        <v>657</v>
      </c>
      <c r="AR27" s="300"/>
      <c r="AS27" s="300"/>
      <c r="AT27" s="300" t="s">
        <v>181</v>
      </c>
      <c r="AU27" s="300" t="s">
        <v>181</v>
      </c>
      <c r="AV27" s="300" t="s">
        <v>86</v>
      </c>
      <c r="AW27" s="300" t="s">
        <v>119</v>
      </c>
      <c r="AX27" s="300"/>
      <c r="AY27"/>
      <c r="BA27" s="298">
        <f>SUM(BF28:BF35)</f>
        <v>759523.39300000004</v>
      </c>
      <c r="BB27" s="299" t="s">
        <v>657</v>
      </c>
      <c r="BC27" s="300"/>
      <c r="BD27" s="300"/>
      <c r="BE27" s="300" t="s">
        <v>181</v>
      </c>
      <c r="BF27" s="300" t="s">
        <v>181</v>
      </c>
      <c r="BG27" s="300" t="s">
        <v>86</v>
      </c>
      <c r="BH27" s="300" t="s">
        <v>119</v>
      </c>
      <c r="BI27" s="300"/>
      <c r="BL27" s="298">
        <f>SUM(BQ28:BQ35)</f>
        <v>557152.34200000006</v>
      </c>
      <c r="BM27" s="299" t="s">
        <v>657</v>
      </c>
      <c r="BN27" s="300"/>
      <c r="BO27" s="300"/>
      <c r="BP27" s="300" t="s">
        <v>181</v>
      </c>
      <c r="BQ27" s="300" t="s">
        <v>181</v>
      </c>
      <c r="BR27" s="300" t="s">
        <v>86</v>
      </c>
      <c r="BS27" s="300" t="s">
        <v>119</v>
      </c>
      <c r="BT27" s="300"/>
      <c r="BW27" s="298">
        <f>SUM(CB28:CB35)</f>
        <v>429367.08600000001</v>
      </c>
      <c r="BX27" s="299" t="s">
        <v>657</v>
      </c>
      <c r="BY27" s="300"/>
      <c r="BZ27" s="300"/>
      <c r="CA27" s="300" t="s">
        <v>181</v>
      </c>
      <c r="CB27" s="300" t="s">
        <v>181</v>
      </c>
      <c r="CC27" s="300" t="s">
        <v>86</v>
      </c>
      <c r="CD27" s="300" t="s">
        <v>119</v>
      </c>
      <c r="CE27" s="300"/>
      <c r="CH27" s="298">
        <f>SUM(CM28:CM35)</f>
        <v>969998</v>
      </c>
      <c r="CI27" s="299" t="s">
        <v>657</v>
      </c>
      <c r="CJ27" s="300"/>
      <c r="CK27" s="300"/>
      <c r="CL27" s="300" t="s">
        <v>181</v>
      </c>
      <c r="CM27" s="300" t="s">
        <v>181</v>
      </c>
      <c r="CN27" s="300" t="s">
        <v>86</v>
      </c>
      <c r="CO27" s="300" t="s">
        <v>119</v>
      </c>
      <c r="CP27" s="300"/>
      <c r="CS27" s="298">
        <f>SUM(CX28:CX35)</f>
        <v>705579</v>
      </c>
      <c r="CT27" s="299" t="s">
        <v>657</v>
      </c>
      <c r="CU27" s="300"/>
      <c r="CV27" s="300"/>
      <c r="CW27" s="300" t="s">
        <v>181</v>
      </c>
      <c r="CX27" s="300" t="s">
        <v>181</v>
      </c>
      <c r="CY27" s="300" t="s">
        <v>86</v>
      </c>
      <c r="CZ27" s="300" t="s">
        <v>119</v>
      </c>
      <c r="DA27" s="300"/>
      <c r="DD27" s="298">
        <f>SUM(DI28:DI35)</f>
        <v>511184</v>
      </c>
      <c r="DE27" s="299" t="s">
        <v>657</v>
      </c>
      <c r="DF27" s="300"/>
      <c r="DG27" s="300"/>
      <c r="DH27" s="300" t="s">
        <v>181</v>
      </c>
      <c r="DI27" s="300" t="s">
        <v>181</v>
      </c>
      <c r="DJ27" s="300" t="s">
        <v>86</v>
      </c>
      <c r="DK27" s="300" t="s">
        <v>119</v>
      </c>
      <c r="DL27" s="300"/>
      <c r="DO27" s="298">
        <f>SUM(DT28:DT35)</f>
        <v>386920</v>
      </c>
      <c r="DP27" s="299" t="s">
        <v>657</v>
      </c>
      <c r="DQ27" s="300"/>
      <c r="DR27" s="300"/>
      <c r="DS27" s="300" t="s">
        <v>181</v>
      </c>
      <c r="DT27" s="300" t="s">
        <v>181</v>
      </c>
      <c r="DU27" s="300" t="s">
        <v>86</v>
      </c>
      <c r="DV27" s="300" t="s">
        <v>119</v>
      </c>
      <c r="DW27" s="300"/>
      <c r="DZ27" s="298">
        <f>SUM(EE28:EE35)</f>
        <v>971775.29356999998</v>
      </c>
      <c r="EA27" s="299" t="s">
        <v>657</v>
      </c>
      <c r="EB27" s="300"/>
      <c r="EC27" s="300"/>
      <c r="ED27" s="300" t="s">
        <v>181</v>
      </c>
      <c r="EE27" s="300" t="s">
        <v>181</v>
      </c>
      <c r="EF27" s="300" t="s">
        <v>86</v>
      </c>
      <c r="EG27" s="300" t="s">
        <v>119</v>
      </c>
      <c r="EH27" s="300"/>
    </row>
    <row r="28" spans="2:138">
      <c r="B28" s="298"/>
      <c r="C28" s="299"/>
      <c r="D28" s="300" t="s">
        <v>789</v>
      </c>
      <c r="E28" s="300" t="s">
        <v>788</v>
      </c>
      <c r="F28" s="301">
        <v>858629</v>
      </c>
      <c r="G28" s="301">
        <v>858629</v>
      </c>
      <c r="H28" s="300">
        <v>66543.8</v>
      </c>
      <c r="I28" s="301">
        <v>297861</v>
      </c>
      <c r="J28" s="300"/>
      <c r="L28" s="298"/>
      <c r="M28" s="299"/>
      <c r="N28" s="300" t="s">
        <v>789</v>
      </c>
      <c r="O28" s="300" t="s">
        <v>788</v>
      </c>
      <c r="P28" s="301">
        <v>524990</v>
      </c>
      <c r="Q28" s="300">
        <v>524990</v>
      </c>
      <c r="R28" s="300">
        <v>40686.699999999997</v>
      </c>
      <c r="S28" s="300">
        <v>182121</v>
      </c>
      <c r="T28" s="300"/>
      <c r="V28" s="298"/>
      <c r="W28" s="299"/>
      <c r="X28" s="300" t="s">
        <v>789</v>
      </c>
      <c r="Y28" s="300" t="s">
        <v>788</v>
      </c>
      <c r="Z28" s="301">
        <v>270842</v>
      </c>
      <c r="AA28" s="301">
        <v>270842</v>
      </c>
      <c r="AB28" s="300">
        <v>20990.2</v>
      </c>
      <c r="AC28" s="300">
        <v>93955.8</v>
      </c>
      <c r="AD28" s="300"/>
      <c r="AF28" s="298"/>
      <c r="AG28" s="299"/>
      <c r="AH28" s="300" t="s">
        <v>789</v>
      </c>
      <c r="AI28" s="300" t="s">
        <v>788</v>
      </c>
      <c r="AJ28" s="301">
        <v>138593</v>
      </c>
      <c r="AK28" s="301">
        <v>138593</v>
      </c>
      <c r="AL28" s="300">
        <v>10740.9</v>
      </c>
      <c r="AM28" s="301">
        <v>48078.2</v>
      </c>
      <c r="AN28" s="300"/>
      <c r="AP28" s="298"/>
      <c r="AQ28" s="299"/>
      <c r="AR28" s="300" t="s">
        <v>789</v>
      </c>
      <c r="AS28" s="300" t="s">
        <v>788</v>
      </c>
      <c r="AT28" s="301">
        <v>858629</v>
      </c>
      <c r="AU28" s="301">
        <v>858629</v>
      </c>
      <c r="AV28" s="300">
        <v>66543.8</v>
      </c>
      <c r="AW28" s="301">
        <v>297861</v>
      </c>
      <c r="AX28" s="300"/>
      <c r="AY28"/>
      <c r="BA28" s="298"/>
      <c r="BB28" s="299"/>
      <c r="BC28" s="300" t="s">
        <v>789</v>
      </c>
      <c r="BD28" s="300" t="s">
        <v>788</v>
      </c>
      <c r="BE28" s="301">
        <v>524990</v>
      </c>
      <c r="BF28" s="300">
        <v>524990</v>
      </c>
      <c r="BG28" s="300">
        <v>40686.699999999997</v>
      </c>
      <c r="BH28" s="300">
        <v>182121</v>
      </c>
      <c r="BI28" s="300"/>
      <c r="BL28" s="298"/>
      <c r="BM28" s="299"/>
      <c r="BN28" s="300" t="s">
        <v>789</v>
      </c>
      <c r="BO28" s="300" t="s">
        <v>788</v>
      </c>
      <c r="BP28" s="301">
        <v>270842</v>
      </c>
      <c r="BQ28" s="301">
        <v>270842</v>
      </c>
      <c r="BR28" s="300">
        <v>20990.2</v>
      </c>
      <c r="BS28" s="300">
        <v>93955.8</v>
      </c>
      <c r="BT28" s="300"/>
      <c r="BW28" s="298"/>
      <c r="BX28" s="299"/>
      <c r="BY28" s="300" t="s">
        <v>789</v>
      </c>
      <c r="BZ28" s="300" t="s">
        <v>788</v>
      </c>
      <c r="CA28" s="301">
        <v>138593</v>
      </c>
      <c r="CB28" s="301">
        <v>138593</v>
      </c>
      <c r="CC28" s="300">
        <v>10740.9</v>
      </c>
      <c r="CD28" s="301">
        <v>48078.2</v>
      </c>
      <c r="CE28" s="300"/>
      <c r="CH28" s="298"/>
      <c r="CI28" s="299"/>
      <c r="CJ28" s="300" t="s">
        <v>789</v>
      </c>
      <c r="CK28" s="300" t="s">
        <v>788</v>
      </c>
      <c r="CL28" s="301">
        <v>858629</v>
      </c>
      <c r="CM28" s="301">
        <v>858629</v>
      </c>
      <c r="CN28" s="300">
        <v>66543.8</v>
      </c>
      <c r="CO28" s="301">
        <v>297861</v>
      </c>
      <c r="CP28" s="300"/>
      <c r="CS28" s="298"/>
      <c r="CT28" s="299"/>
      <c r="CU28" s="300" t="s">
        <v>789</v>
      </c>
      <c r="CV28" s="300" t="s">
        <v>788</v>
      </c>
      <c r="CW28" s="301">
        <v>524990</v>
      </c>
      <c r="CX28" s="300">
        <v>524990</v>
      </c>
      <c r="CY28" s="300">
        <v>40686.699999999997</v>
      </c>
      <c r="CZ28" s="300">
        <v>182121</v>
      </c>
      <c r="DA28" s="300"/>
      <c r="DD28" s="298"/>
      <c r="DE28" s="299"/>
      <c r="DF28" s="300" t="s">
        <v>789</v>
      </c>
      <c r="DG28" s="300" t="s">
        <v>788</v>
      </c>
      <c r="DH28" s="301">
        <v>270842</v>
      </c>
      <c r="DI28" s="301">
        <v>270842</v>
      </c>
      <c r="DJ28" s="300">
        <v>20990.2</v>
      </c>
      <c r="DK28" s="300">
        <v>93955.8</v>
      </c>
      <c r="DL28" s="300"/>
      <c r="DO28" s="298"/>
      <c r="DP28" s="299"/>
      <c r="DQ28" s="300" t="s">
        <v>789</v>
      </c>
      <c r="DR28" s="300" t="s">
        <v>788</v>
      </c>
      <c r="DS28" s="301">
        <v>138593</v>
      </c>
      <c r="DT28" s="301">
        <v>138593</v>
      </c>
      <c r="DU28" s="300">
        <v>10740.9</v>
      </c>
      <c r="DV28" s="301">
        <v>48078.2</v>
      </c>
      <c r="DW28" s="300"/>
      <c r="DZ28" s="298"/>
      <c r="EA28" s="299"/>
      <c r="EB28" s="300" t="s">
        <v>789</v>
      </c>
      <c r="EC28" s="300" t="s">
        <v>788</v>
      </c>
      <c r="ED28" s="301">
        <v>858629</v>
      </c>
      <c r="EE28" s="301">
        <v>858629</v>
      </c>
      <c r="EF28" s="300">
        <v>66543.8</v>
      </c>
      <c r="EG28" s="301">
        <v>297861</v>
      </c>
      <c r="EH28" s="300"/>
    </row>
    <row r="29" spans="2:138">
      <c r="B29" s="298"/>
      <c r="C29" s="299"/>
      <c r="D29" s="300" t="s">
        <v>793</v>
      </c>
      <c r="E29" s="300" t="s">
        <v>788</v>
      </c>
      <c r="F29" s="301">
        <v>111369</v>
      </c>
      <c r="G29" s="301">
        <v>111369</v>
      </c>
      <c r="H29" s="301">
        <v>8631.06</v>
      </c>
      <c r="I29" s="301">
        <v>38634.1</v>
      </c>
      <c r="J29" s="300"/>
      <c r="L29" s="298"/>
      <c r="M29" s="299"/>
      <c r="N29" s="300" t="s">
        <v>793</v>
      </c>
      <c r="O29" s="300" t="s">
        <v>788</v>
      </c>
      <c r="P29" s="301">
        <v>180589</v>
      </c>
      <c r="Q29" s="301">
        <v>180589</v>
      </c>
      <c r="R29" s="301">
        <v>13995.7</v>
      </c>
      <c r="S29" s="301">
        <v>62646.9</v>
      </c>
      <c r="T29" s="300"/>
      <c r="V29" s="298"/>
      <c r="W29" s="299"/>
      <c r="X29" s="300" t="s">
        <v>793</v>
      </c>
      <c r="Y29" s="300" t="s">
        <v>788</v>
      </c>
      <c r="Z29" s="301">
        <v>240342</v>
      </c>
      <c r="AA29" s="301">
        <v>240342</v>
      </c>
      <c r="AB29" s="301">
        <v>18626.5</v>
      </c>
      <c r="AC29" s="301">
        <v>83375.5</v>
      </c>
      <c r="AD29" s="300"/>
      <c r="AF29" s="298"/>
      <c r="AG29" s="299"/>
      <c r="AH29" s="300" t="s">
        <v>793</v>
      </c>
      <c r="AI29" s="300" t="s">
        <v>788</v>
      </c>
      <c r="AJ29" s="301">
        <v>248327</v>
      </c>
      <c r="AK29" s="301">
        <v>248327</v>
      </c>
      <c r="AL29" s="301">
        <v>19245.3</v>
      </c>
      <c r="AM29" s="301">
        <v>86145.4</v>
      </c>
      <c r="AN29" s="300"/>
      <c r="AP29" s="298"/>
      <c r="AQ29" s="299"/>
      <c r="AR29" s="300" t="s">
        <v>793</v>
      </c>
      <c r="AS29" s="300" t="s">
        <v>788</v>
      </c>
      <c r="AT29" s="301">
        <v>111369</v>
      </c>
      <c r="AU29" s="301">
        <v>111369</v>
      </c>
      <c r="AV29" s="301">
        <v>8631.06</v>
      </c>
      <c r="AW29" s="301">
        <v>38634.1</v>
      </c>
      <c r="AX29" s="300"/>
      <c r="AY29"/>
      <c r="BA29" s="298"/>
      <c r="BB29" s="299"/>
      <c r="BC29" s="300" t="s">
        <v>793</v>
      </c>
      <c r="BD29" s="300" t="s">
        <v>788</v>
      </c>
      <c r="BE29" s="301">
        <v>180589</v>
      </c>
      <c r="BF29" s="301">
        <v>180589</v>
      </c>
      <c r="BG29" s="301">
        <v>13995.7</v>
      </c>
      <c r="BH29" s="301">
        <v>62646.9</v>
      </c>
      <c r="BI29" s="300"/>
      <c r="BL29" s="298"/>
      <c r="BM29" s="299"/>
      <c r="BN29" s="300" t="s">
        <v>793</v>
      </c>
      <c r="BO29" s="300" t="s">
        <v>788</v>
      </c>
      <c r="BP29" s="301">
        <v>240342</v>
      </c>
      <c r="BQ29" s="301">
        <v>240342</v>
      </c>
      <c r="BR29" s="301">
        <v>18626.5</v>
      </c>
      <c r="BS29" s="301">
        <v>83375.5</v>
      </c>
      <c r="BT29" s="300"/>
      <c r="BW29" s="298"/>
      <c r="BX29" s="299"/>
      <c r="BY29" s="300" t="s">
        <v>793</v>
      </c>
      <c r="BZ29" s="300" t="s">
        <v>788</v>
      </c>
      <c r="CA29" s="301">
        <v>248327</v>
      </c>
      <c r="CB29" s="301">
        <v>248327</v>
      </c>
      <c r="CC29" s="301">
        <v>19245.3</v>
      </c>
      <c r="CD29" s="301">
        <v>86145.4</v>
      </c>
      <c r="CE29" s="300"/>
      <c r="CH29" s="298"/>
      <c r="CI29" s="299"/>
      <c r="CJ29" s="300" t="s">
        <v>793</v>
      </c>
      <c r="CK29" s="300" t="s">
        <v>788</v>
      </c>
      <c r="CL29" s="301">
        <v>111369</v>
      </c>
      <c r="CM29" s="301">
        <v>111369</v>
      </c>
      <c r="CN29" s="301">
        <v>8631.06</v>
      </c>
      <c r="CO29" s="301">
        <v>38634.1</v>
      </c>
      <c r="CP29" s="300"/>
      <c r="CS29" s="298"/>
      <c r="CT29" s="299"/>
      <c r="CU29" s="300" t="s">
        <v>793</v>
      </c>
      <c r="CV29" s="300" t="s">
        <v>788</v>
      </c>
      <c r="CW29" s="301">
        <v>180589</v>
      </c>
      <c r="CX29" s="301">
        <v>180589</v>
      </c>
      <c r="CY29" s="301">
        <v>13995.7</v>
      </c>
      <c r="CZ29" s="301">
        <v>62646.9</v>
      </c>
      <c r="DA29" s="300"/>
      <c r="DD29" s="298"/>
      <c r="DE29" s="299"/>
      <c r="DF29" s="300" t="s">
        <v>793</v>
      </c>
      <c r="DG29" s="300" t="s">
        <v>788</v>
      </c>
      <c r="DH29" s="301">
        <v>240342</v>
      </c>
      <c r="DI29" s="301">
        <v>240342</v>
      </c>
      <c r="DJ29" s="301">
        <v>18626.5</v>
      </c>
      <c r="DK29" s="301">
        <v>83375.5</v>
      </c>
      <c r="DL29" s="300"/>
      <c r="DO29" s="298"/>
      <c r="DP29" s="299"/>
      <c r="DQ29" s="300" t="s">
        <v>793</v>
      </c>
      <c r="DR29" s="300" t="s">
        <v>788</v>
      </c>
      <c r="DS29" s="301">
        <v>248327</v>
      </c>
      <c r="DT29" s="301">
        <v>248327</v>
      </c>
      <c r="DU29" s="301">
        <v>19245.3</v>
      </c>
      <c r="DV29" s="301">
        <v>86145.4</v>
      </c>
      <c r="DW29" s="300"/>
      <c r="DZ29" s="298"/>
      <c r="EA29" s="299"/>
      <c r="EB29" s="300" t="s">
        <v>793</v>
      </c>
      <c r="EC29" s="300" t="s">
        <v>788</v>
      </c>
      <c r="ED29" s="301">
        <v>111369</v>
      </c>
      <c r="EE29" s="301">
        <v>111369</v>
      </c>
      <c r="EF29" s="301">
        <v>8631.06</v>
      </c>
      <c r="EG29" s="301">
        <v>38634.1</v>
      </c>
      <c r="EH29" s="300"/>
    </row>
    <row r="30" spans="2:138">
      <c r="B30" s="298"/>
      <c r="C30" s="299"/>
      <c r="D30" s="764"/>
      <c r="E30" s="764"/>
      <c r="F30" s="765"/>
      <c r="G30" s="764"/>
      <c r="H30" s="764"/>
      <c r="I30" s="764"/>
      <c r="J30" s="300"/>
      <c r="L30" s="298"/>
      <c r="M30" s="299"/>
      <c r="N30" s="764"/>
      <c r="O30" s="764"/>
      <c r="P30" s="765"/>
      <c r="Q30" s="764"/>
      <c r="R30" s="764"/>
      <c r="S30" s="764"/>
      <c r="T30" s="300"/>
      <c r="V30" s="298"/>
      <c r="W30" s="299"/>
      <c r="X30" s="764"/>
      <c r="Y30" s="764"/>
      <c r="Z30" s="765"/>
      <c r="AA30" s="764"/>
      <c r="AB30" s="764"/>
      <c r="AC30" s="764"/>
      <c r="AD30" s="300"/>
      <c r="AF30" s="298"/>
      <c r="AG30" s="299"/>
      <c r="AH30" s="764"/>
      <c r="AI30" s="764"/>
      <c r="AJ30" s="765"/>
      <c r="AK30" s="764"/>
      <c r="AL30" s="764"/>
      <c r="AM30" s="764"/>
      <c r="AN30" s="300"/>
      <c r="AP30" s="298"/>
      <c r="AQ30" s="299"/>
      <c r="AR30" s="764" t="s">
        <v>1128</v>
      </c>
      <c r="AS30" s="764" t="s">
        <v>929</v>
      </c>
      <c r="AT30" s="765">
        <v>312.43799999999999</v>
      </c>
      <c r="AU30" s="764">
        <v>312.43799999999999</v>
      </c>
      <c r="AV30" s="764">
        <v>24.213999999999999</v>
      </c>
      <c r="AW30" s="764">
        <v>108.386</v>
      </c>
      <c r="AX30" s="300"/>
      <c r="AY30"/>
      <c r="BA30" s="298"/>
      <c r="BB30" s="299"/>
      <c r="BC30" s="764" t="s">
        <v>1128</v>
      </c>
      <c r="BD30" s="764" t="s">
        <v>929</v>
      </c>
      <c r="BE30" s="765">
        <v>273.89299999999997</v>
      </c>
      <c r="BF30" s="764">
        <v>273.89299999999997</v>
      </c>
      <c r="BG30" s="764">
        <v>21.226700000000001</v>
      </c>
      <c r="BH30" s="764">
        <v>95.014300000000006</v>
      </c>
      <c r="BI30" s="300"/>
      <c r="BL30" s="298"/>
      <c r="BM30" s="299"/>
      <c r="BN30" s="764" t="s">
        <v>1128</v>
      </c>
      <c r="BO30" s="764" t="s">
        <v>929</v>
      </c>
      <c r="BP30" s="765">
        <v>201.74199999999999</v>
      </c>
      <c r="BQ30" s="764">
        <v>201.74199999999999</v>
      </c>
      <c r="BR30" s="764">
        <v>15.635</v>
      </c>
      <c r="BS30" s="764">
        <v>69.985100000000003</v>
      </c>
      <c r="BT30" s="300"/>
      <c r="BW30" s="298"/>
      <c r="BX30" s="299"/>
      <c r="BY30" s="764" t="s">
        <v>1128</v>
      </c>
      <c r="BZ30" s="764" t="s">
        <v>929</v>
      </c>
      <c r="CA30" s="765">
        <v>203.68600000000001</v>
      </c>
      <c r="CB30" s="764">
        <v>203.68600000000001</v>
      </c>
      <c r="CC30" s="764">
        <v>15.7857</v>
      </c>
      <c r="CD30" s="764">
        <v>70.659300000000002</v>
      </c>
      <c r="CE30" s="300"/>
      <c r="CH30" s="298"/>
      <c r="CI30" s="299"/>
      <c r="CJ30" s="764"/>
      <c r="CK30" s="764"/>
      <c r="CL30" s="765"/>
      <c r="CM30" s="764"/>
      <c r="CN30" s="764"/>
      <c r="CO30" s="764"/>
      <c r="CP30" s="300"/>
      <c r="CS30" s="298"/>
      <c r="CT30" s="299"/>
      <c r="CU30" s="764"/>
      <c r="CV30" s="764"/>
      <c r="CW30" s="765"/>
      <c r="CX30" s="764"/>
      <c r="CY30" s="764"/>
      <c r="CZ30" s="764"/>
      <c r="DA30" s="300"/>
      <c r="DD30" s="298"/>
      <c r="DE30" s="299"/>
      <c r="DF30" s="764"/>
      <c r="DG30" s="764"/>
      <c r="DH30" s="765"/>
      <c r="DI30" s="764"/>
      <c r="DJ30" s="764"/>
      <c r="DK30" s="764"/>
      <c r="DL30" s="300"/>
      <c r="DO30" s="298"/>
      <c r="DP30" s="299"/>
      <c r="DQ30" s="764"/>
      <c r="DR30" s="764"/>
      <c r="DS30" s="765"/>
      <c r="DT30" s="764"/>
      <c r="DU30" s="764"/>
      <c r="DV30" s="764"/>
      <c r="DW30" s="300"/>
      <c r="DZ30" s="298"/>
      <c r="EA30" s="299"/>
      <c r="EB30" s="764" t="s">
        <v>1128</v>
      </c>
      <c r="EC30" s="764" t="s">
        <v>929</v>
      </c>
      <c r="ED30" s="765">
        <v>8.5635700000000003</v>
      </c>
      <c r="EE30" s="764">
        <v>8.5635700000000003</v>
      </c>
      <c r="EF30" s="764">
        <v>0.66367699999999996</v>
      </c>
      <c r="EG30" s="764">
        <v>2.9707300000000001</v>
      </c>
      <c r="EH30" s="300"/>
    </row>
    <row r="31" spans="2:138">
      <c r="B31" s="298"/>
      <c r="C31" s="299"/>
      <c r="D31" s="830"/>
      <c r="E31" s="830"/>
      <c r="F31" s="830"/>
      <c r="G31" s="830"/>
      <c r="H31" s="830"/>
      <c r="I31" s="830"/>
      <c r="J31" s="300"/>
      <c r="L31" s="298"/>
      <c r="M31" s="299"/>
      <c r="N31" s="830"/>
      <c r="O31" s="830"/>
      <c r="P31" s="830"/>
      <c r="Q31" s="830"/>
      <c r="R31" s="830"/>
      <c r="S31" s="830"/>
      <c r="T31" s="300"/>
      <c r="V31" s="298"/>
      <c r="W31" s="830"/>
      <c r="X31" s="830"/>
      <c r="Y31" s="830"/>
      <c r="Z31" s="830"/>
      <c r="AA31" s="830"/>
      <c r="AB31" s="830"/>
      <c r="AC31" s="830"/>
      <c r="AD31" s="830"/>
      <c r="AF31" s="298"/>
      <c r="AG31" s="299"/>
      <c r="AH31" s="830"/>
      <c r="AI31" s="830"/>
      <c r="AJ31" s="830"/>
      <c r="AK31" s="830"/>
      <c r="AL31" s="830"/>
      <c r="AM31" s="830"/>
      <c r="AN31" s="300"/>
      <c r="AP31" s="298"/>
      <c r="AQ31" s="299"/>
      <c r="AR31" s="884" t="s">
        <v>1248</v>
      </c>
      <c r="AS31" s="884" t="s">
        <v>182</v>
      </c>
      <c r="AT31" s="884">
        <v>59650.9</v>
      </c>
      <c r="AU31" s="884">
        <v>59650.9</v>
      </c>
      <c r="AV31" s="884">
        <v>4622.95</v>
      </c>
      <c r="AW31" s="884">
        <v>20693.099999999999</v>
      </c>
      <c r="AX31" s="300"/>
      <c r="AY31"/>
      <c r="BA31" s="298"/>
      <c r="BB31" s="299"/>
      <c r="BC31" s="884" t="s">
        <v>1249</v>
      </c>
      <c r="BD31" s="884" t="s">
        <v>182</v>
      </c>
      <c r="BE31" s="884">
        <v>53670.5</v>
      </c>
      <c r="BF31" s="884">
        <v>53670.5</v>
      </c>
      <c r="BG31" s="884">
        <v>4159.46</v>
      </c>
      <c r="BH31" s="884">
        <v>18618.5</v>
      </c>
      <c r="BI31" s="300"/>
      <c r="BL31" s="298"/>
      <c r="BM31" s="299"/>
      <c r="BN31" s="884" t="s">
        <v>1252</v>
      </c>
      <c r="BO31" s="884" t="s">
        <v>182</v>
      </c>
      <c r="BP31" s="884">
        <v>45766.6</v>
      </c>
      <c r="BQ31" s="884">
        <v>45766.6</v>
      </c>
      <c r="BR31" s="884">
        <v>3546.91</v>
      </c>
      <c r="BS31" s="884">
        <v>15876.6</v>
      </c>
      <c r="BT31" s="300"/>
      <c r="BW31" s="298"/>
      <c r="BX31" s="299"/>
      <c r="BY31" s="884" t="s">
        <v>1249</v>
      </c>
      <c r="BZ31" s="884" t="s">
        <v>182</v>
      </c>
      <c r="CA31" s="884">
        <v>42243.4</v>
      </c>
      <c r="CB31" s="884">
        <v>42243.4</v>
      </c>
      <c r="CC31" s="884">
        <v>3273.86</v>
      </c>
      <c r="CD31" s="884">
        <v>14654.4</v>
      </c>
      <c r="CE31" s="300"/>
      <c r="CH31" s="298"/>
      <c r="CI31" s="299"/>
      <c r="CJ31" s="827"/>
      <c r="CK31" s="827"/>
      <c r="CL31" s="827"/>
      <c r="CM31" s="827"/>
      <c r="CN31" s="827"/>
      <c r="CO31" s="827"/>
      <c r="CP31" s="300"/>
      <c r="CS31" s="298"/>
      <c r="CT31" s="299"/>
      <c r="CU31" s="827"/>
      <c r="CV31" s="827"/>
      <c r="CW31" s="827"/>
      <c r="CX31" s="827"/>
      <c r="CY31" s="827"/>
      <c r="CZ31" s="827"/>
      <c r="DA31" s="300"/>
      <c r="DD31" s="298"/>
      <c r="DE31" s="299"/>
      <c r="DF31" s="830"/>
      <c r="DG31" s="830"/>
      <c r="DH31" s="830"/>
      <c r="DI31" s="830"/>
      <c r="DJ31" s="830"/>
      <c r="DK31" s="830"/>
      <c r="DL31" s="300"/>
      <c r="DO31" s="298"/>
      <c r="DP31" s="299"/>
      <c r="DQ31" s="830"/>
      <c r="DR31" s="830"/>
      <c r="DS31" s="830"/>
      <c r="DT31" s="830"/>
      <c r="DU31" s="830"/>
      <c r="DV31" s="830"/>
      <c r="DW31" s="300"/>
      <c r="DZ31" s="298"/>
      <c r="EA31" s="299"/>
      <c r="EB31" s="884" t="s">
        <v>1248</v>
      </c>
      <c r="EC31" s="884" t="s">
        <v>182</v>
      </c>
      <c r="ED31" s="884">
        <v>1768.73</v>
      </c>
      <c r="EE31" s="884">
        <v>1768.73</v>
      </c>
      <c r="EF31" s="884">
        <v>137.077</v>
      </c>
      <c r="EG31" s="884">
        <v>613.57899999999995</v>
      </c>
      <c r="EH31" s="300"/>
    </row>
    <row r="32" spans="2:138">
      <c r="B32" s="298"/>
      <c r="C32" s="299"/>
      <c r="D32" s="300"/>
      <c r="E32" s="300"/>
      <c r="F32" s="301"/>
      <c r="G32" s="300"/>
      <c r="H32" s="300"/>
      <c r="I32" s="300"/>
      <c r="J32" s="300"/>
      <c r="L32" s="298"/>
      <c r="M32" s="299"/>
      <c r="N32" s="300"/>
      <c r="O32" s="300"/>
      <c r="P32" s="301"/>
      <c r="Q32" s="300"/>
      <c r="R32" s="300"/>
      <c r="S32" s="300"/>
      <c r="T32" s="300"/>
      <c r="V32" s="298"/>
      <c r="W32" s="299"/>
      <c r="X32" s="300"/>
      <c r="Y32" s="300"/>
      <c r="Z32" s="301"/>
      <c r="AA32" s="300"/>
      <c r="AB32" s="300"/>
      <c r="AC32" s="300"/>
      <c r="AD32" s="300"/>
      <c r="AF32" s="298"/>
      <c r="AG32" s="299"/>
      <c r="AH32" s="300"/>
      <c r="AI32" s="300"/>
      <c r="AJ32" s="301"/>
      <c r="AK32" s="300"/>
      <c r="AL32" s="300"/>
      <c r="AM32" s="300"/>
      <c r="AN32" s="300"/>
      <c r="AP32" s="298"/>
      <c r="AQ32" s="299"/>
      <c r="AR32" s="300"/>
      <c r="AS32" s="300"/>
      <c r="AT32" s="301"/>
      <c r="AU32" s="300"/>
      <c r="AV32" s="300"/>
      <c r="AW32" s="300"/>
      <c r="AX32" s="300"/>
      <c r="AY32"/>
      <c r="BA32" s="298"/>
      <c r="BB32" s="299"/>
      <c r="BC32" s="300"/>
      <c r="BD32" s="300"/>
      <c r="BE32" s="301"/>
      <c r="BF32" s="300"/>
      <c r="BG32" s="300"/>
      <c r="BH32" s="300"/>
      <c r="BI32" s="300"/>
      <c r="BL32" s="298"/>
      <c r="BM32" s="299"/>
      <c r="BN32" s="830"/>
      <c r="BO32" s="830"/>
      <c r="BP32" s="831"/>
      <c r="BQ32" s="830"/>
      <c r="BR32" s="830"/>
      <c r="BS32" s="830"/>
      <c r="BT32" s="300"/>
      <c r="BW32" s="298"/>
      <c r="BX32" s="299"/>
      <c r="BY32" s="300"/>
      <c r="BZ32" s="300"/>
      <c r="CA32" s="301"/>
      <c r="CB32" s="300"/>
      <c r="CC32" s="300"/>
      <c r="CD32" s="300"/>
      <c r="CE32" s="300"/>
      <c r="CH32" s="298"/>
      <c r="CI32" s="299"/>
      <c r="CJ32" s="300"/>
      <c r="CK32" s="300"/>
      <c r="CL32" s="301"/>
      <c r="CM32" s="300"/>
      <c r="CN32" s="300"/>
      <c r="CO32" s="300"/>
      <c r="CP32" s="300"/>
      <c r="CS32" s="298"/>
      <c r="CT32" s="299"/>
      <c r="CU32" s="300"/>
      <c r="CV32" s="300"/>
      <c r="CW32" s="301"/>
      <c r="CX32" s="300"/>
      <c r="CY32" s="300"/>
      <c r="CZ32" s="300"/>
      <c r="DA32" s="300"/>
      <c r="DD32" s="298"/>
      <c r="DE32" s="299"/>
      <c r="DF32" s="300"/>
      <c r="DG32" s="300"/>
      <c r="DH32" s="301"/>
      <c r="DI32" s="300"/>
      <c r="DJ32" s="300"/>
      <c r="DK32" s="300"/>
      <c r="DL32" s="300"/>
      <c r="DO32" s="298"/>
      <c r="DP32" s="299"/>
      <c r="DQ32" s="300"/>
      <c r="DR32" s="300"/>
      <c r="DS32" s="301"/>
      <c r="DT32" s="300"/>
      <c r="DU32" s="300"/>
      <c r="DV32" s="300"/>
      <c r="DW32" s="300"/>
      <c r="DZ32" s="298"/>
      <c r="EA32" s="299"/>
      <c r="EB32" s="300"/>
      <c r="EC32" s="300"/>
      <c r="ED32" s="301"/>
      <c r="EE32" s="300"/>
      <c r="EF32" s="300"/>
      <c r="EG32" s="300"/>
      <c r="EH32" s="300"/>
    </row>
    <row r="33" spans="1:138">
      <c r="B33" s="298"/>
      <c r="C33" s="299"/>
      <c r="D33" s="300"/>
      <c r="E33" s="300"/>
      <c r="F33" s="301"/>
      <c r="G33" s="300"/>
      <c r="H33" s="300"/>
      <c r="I33" s="300"/>
      <c r="J33" s="300"/>
      <c r="L33" s="298"/>
      <c r="M33" s="299"/>
      <c r="N33" s="300"/>
      <c r="O33" s="300"/>
      <c r="P33" s="301"/>
      <c r="Q33" s="300"/>
      <c r="R33" s="300"/>
      <c r="S33" s="300"/>
      <c r="T33" s="300"/>
      <c r="V33" s="298"/>
      <c r="W33" s="299"/>
      <c r="X33" s="300"/>
      <c r="Y33" s="300"/>
      <c r="Z33" s="301"/>
      <c r="AA33" s="300"/>
      <c r="AB33" s="300"/>
      <c r="AC33" s="300"/>
      <c r="AD33" s="300"/>
      <c r="AF33" s="298"/>
      <c r="AG33" s="299"/>
      <c r="AH33" s="300"/>
      <c r="AI33" s="300"/>
      <c r="AJ33" s="301"/>
      <c r="AK33" s="300"/>
      <c r="AL33" s="300"/>
      <c r="AM33" s="300"/>
      <c r="AN33" s="300"/>
      <c r="AP33" s="298"/>
      <c r="AQ33" s="299"/>
      <c r="AR33" s="300"/>
      <c r="AS33" s="300"/>
      <c r="AT33" s="301"/>
      <c r="AU33" s="300"/>
      <c r="AV33" s="300"/>
      <c r="AW33" s="300"/>
      <c r="AX33" s="300"/>
      <c r="AY33"/>
      <c r="BA33" s="298"/>
      <c r="BB33" s="299"/>
      <c r="BC33" s="300"/>
      <c r="BD33" s="300"/>
      <c r="BE33" s="301"/>
      <c r="BF33" s="300"/>
      <c r="BG33" s="300"/>
      <c r="BH33" s="300"/>
      <c r="BI33" s="300"/>
      <c r="BL33" s="298"/>
      <c r="BM33" s="299"/>
      <c r="BN33" s="300"/>
      <c r="BO33" s="300"/>
      <c r="BP33" s="301"/>
      <c r="BQ33" s="300"/>
      <c r="BR33" s="300"/>
      <c r="BS33" s="300"/>
      <c r="BT33" s="300"/>
      <c r="BW33" s="298"/>
      <c r="BX33" s="299"/>
      <c r="BY33" s="300"/>
      <c r="BZ33" s="300"/>
      <c r="CA33" s="301"/>
      <c r="CB33" s="300"/>
      <c r="CC33" s="300"/>
      <c r="CD33" s="300"/>
      <c r="CE33" s="300"/>
      <c r="CH33" s="298"/>
      <c r="CI33" s="299"/>
      <c r="CJ33" s="300"/>
      <c r="CK33" s="300"/>
      <c r="CL33" s="301"/>
      <c r="CM33" s="300"/>
      <c r="CN33" s="300"/>
      <c r="CO33" s="300"/>
      <c r="CP33" s="300"/>
      <c r="CS33" s="298"/>
      <c r="CT33" s="299"/>
      <c r="CU33" s="300"/>
      <c r="CV33" s="300"/>
      <c r="CW33" s="301"/>
      <c r="CX33" s="300"/>
      <c r="CY33" s="300"/>
      <c r="CZ33" s="300"/>
      <c r="DA33" s="300"/>
      <c r="DD33" s="298"/>
      <c r="DE33" s="299"/>
      <c r="DF33" s="300"/>
      <c r="DG33" s="300"/>
      <c r="DH33" s="301"/>
      <c r="DI33" s="300"/>
      <c r="DJ33" s="300"/>
      <c r="DK33" s="300"/>
      <c r="DL33" s="300"/>
      <c r="DO33" s="298"/>
      <c r="DP33" s="299"/>
      <c r="DQ33" s="300"/>
      <c r="DR33" s="300"/>
      <c r="DS33" s="301"/>
      <c r="DT33" s="300"/>
      <c r="DU33" s="300"/>
      <c r="DV33" s="300"/>
      <c r="DW33" s="300"/>
      <c r="DZ33" s="298"/>
      <c r="EA33" s="299"/>
      <c r="EB33" s="300"/>
      <c r="EC33" s="300"/>
      <c r="ED33" s="301"/>
      <c r="EE33" s="300"/>
      <c r="EF33" s="300"/>
      <c r="EG33" s="300"/>
      <c r="EH33" s="300"/>
    </row>
    <row r="34" spans="1:138">
      <c r="B34" s="298"/>
      <c r="C34" s="299"/>
      <c r="D34" s="300"/>
      <c r="E34" s="300"/>
      <c r="F34" s="300"/>
      <c r="G34" s="300"/>
      <c r="H34" s="300"/>
      <c r="I34" s="300"/>
      <c r="J34" s="300"/>
      <c r="L34" s="298"/>
      <c r="M34" s="299"/>
      <c r="N34" s="300"/>
      <c r="O34" s="300"/>
      <c r="P34" s="300"/>
      <c r="Q34" s="300"/>
      <c r="R34" s="300"/>
      <c r="S34" s="300"/>
      <c r="T34" s="300"/>
      <c r="V34" s="298"/>
      <c r="W34" s="299"/>
      <c r="X34" s="300"/>
      <c r="Y34" s="300"/>
      <c r="Z34" s="300"/>
      <c r="AA34" s="300"/>
      <c r="AB34" s="300"/>
      <c r="AC34" s="300"/>
      <c r="AD34" s="300"/>
      <c r="AF34" s="298"/>
      <c r="AG34" s="299"/>
      <c r="AH34" s="300"/>
      <c r="AI34" s="300"/>
      <c r="AJ34" s="300"/>
      <c r="AK34" s="300"/>
      <c r="AL34" s="300"/>
      <c r="AM34" s="300"/>
      <c r="AN34" s="300"/>
      <c r="AP34" s="298"/>
      <c r="AQ34" s="299"/>
      <c r="AR34" s="300"/>
      <c r="AS34" s="300"/>
      <c r="AT34" s="300"/>
      <c r="AU34" s="300"/>
      <c r="AV34" s="300"/>
      <c r="AW34" s="300"/>
      <c r="AX34" s="300"/>
      <c r="AY34"/>
      <c r="BA34" s="298"/>
      <c r="BB34" s="299"/>
      <c r="BC34" s="300"/>
      <c r="BD34" s="300"/>
      <c r="BE34" s="300"/>
      <c r="BF34" s="300"/>
      <c r="BG34" s="300"/>
      <c r="BH34" s="300"/>
      <c r="BI34" s="300"/>
      <c r="BL34" s="298"/>
      <c r="BM34" s="299"/>
      <c r="BN34" s="300"/>
      <c r="BO34" s="300"/>
      <c r="BP34" s="300"/>
      <c r="BQ34" s="300"/>
      <c r="BR34" s="300"/>
      <c r="BS34" s="300"/>
      <c r="BT34" s="300"/>
      <c r="BW34" s="298"/>
      <c r="BX34" s="299"/>
      <c r="BY34" s="300"/>
      <c r="BZ34" s="300"/>
      <c r="CA34" s="300"/>
      <c r="CB34" s="300"/>
      <c r="CC34" s="300"/>
      <c r="CD34" s="300"/>
      <c r="CE34" s="300"/>
      <c r="CH34" s="298"/>
      <c r="CI34" s="299"/>
      <c r="CJ34" s="300"/>
      <c r="CK34" s="300"/>
      <c r="CL34" s="300"/>
      <c r="CM34" s="300"/>
      <c r="CN34" s="300"/>
      <c r="CO34" s="300"/>
      <c r="CP34" s="300"/>
      <c r="CS34" s="298"/>
      <c r="CT34" s="299"/>
      <c r="CU34" s="300"/>
      <c r="CV34" s="300"/>
      <c r="CW34" s="300"/>
      <c r="CX34" s="300"/>
      <c r="CY34" s="300"/>
      <c r="CZ34" s="300"/>
      <c r="DA34" s="300"/>
      <c r="DD34" s="298"/>
      <c r="DE34" s="299"/>
      <c r="DF34" s="300"/>
      <c r="DG34" s="300"/>
      <c r="DH34" s="300"/>
      <c r="DI34" s="300"/>
      <c r="DJ34" s="300"/>
      <c r="DK34" s="300"/>
      <c r="DL34" s="300"/>
      <c r="DO34" s="298"/>
      <c r="DP34" s="299"/>
      <c r="DQ34" s="300"/>
      <c r="DR34" s="300"/>
      <c r="DS34" s="300"/>
      <c r="DT34" s="300"/>
      <c r="DU34" s="300"/>
      <c r="DV34" s="300"/>
      <c r="DW34" s="300"/>
      <c r="DZ34" s="298"/>
      <c r="EA34" s="299"/>
      <c r="EB34" s="300"/>
      <c r="EC34" s="300"/>
      <c r="ED34" s="300"/>
      <c r="EE34" s="300"/>
      <c r="EF34" s="300"/>
      <c r="EG34" s="300"/>
      <c r="EH34" s="300"/>
    </row>
    <row r="35" spans="1:138">
      <c r="B35" s="298"/>
      <c r="C35" s="299"/>
      <c r="D35" s="300"/>
      <c r="E35" s="300"/>
      <c r="F35" s="300"/>
      <c r="G35" s="300"/>
      <c r="H35" s="301"/>
      <c r="I35" s="300"/>
      <c r="J35" s="300"/>
      <c r="L35" s="298"/>
      <c r="M35" s="299"/>
      <c r="N35" s="300"/>
      <c r="O35" s="300"/>
      <c r="P35" s="300"/>
      <c r="Q35" s="300"/>
      <c r="R35" s="301"/>
      <c r="S35" s="300"/>
      <c r="T35" s="300"/>
      <c r="V35" s="298"/>
      <c r="W35" s="299"/>
      <c r="X35" s="300"/>
      <c r="Y35" s="300"/>
      <c r="Z35" s="300"/>
      <c r="AA35" s="300"/>
      <c r="AB35" s="301"/>
      <c r="AC35" s="300"/>
      <c r="AD35" s="300"/>
      <c r="AF35" s="298"/>
      <c r="AG35" s="299"/>
      <c r="AH35" s="300"/>
      <c r="AI35" s="300"/>
      <c r="AJ35" s="300"/>
      <c r="AK35" s="300"/>
      <c r="AL35" s="301"/>
      <c r="AM35" s="300"/>
      <c r="AN35" s="300"/>
      <c r="AP35" s="298"/>
      <c r="AQ35" s="299"/>
      <c r="AR35" s="300"/>
      <c r="AS35" s="300"/>
      <c r="AT35" s="300"/>
      <c r="AU35" s="300"/>
      <c r="AV35" s="301"/>
      <c r="AW35" s="300"/>
      <c r="AX35" s="300"/>
      <c r="AY35"/>
      <c r="BA35" s="298"/>
      <c r="BB35" s="299"/>
      <c r="BC35" s="300"/>
      <c r="BD35" s="300"/>
      <c r="BE35" s="300"/>
      <c r="BF35" s="300"/>
      <c r="BG35" s="301"/>
      <c r="BH35" s="300"/>
      <c r="BI35" s="300"/>
      <c r="BL35" s="298"/>
      <c r="BM35" s="299"/>
      <c r="BN35" s="300"/>
      <c r="BO35" s="300"/>
      <c r="BP35" s="300"/>
      <c r="BQ35" s="300"/>
      <c r="BR35" s="301"/>
      <c r="BS35" s="300"/>
      <c r="BT35" s="300"/>
      <c r="BW35" s="298"/>
      <c r="BX35" s="299"/>
      <c r="BY35" s="300"/>
      <c r="BZ35" s="300"/>
      <c r="CA35" s="300"/>
      <c r="CB35" s="300"/>
      <c r="CC35" s="301"/>
      <c r="CD35" s="300"/>
      <c r="CE35" s="300"/>
      <c r="CH35" s="298"/>
      <c r="CI35" s="299"/>
      <c r="CJ35" s="300"/>
      <c r="CK35" s="300"/>
      <c r="CL35" s="300"/>
      <c r="CM35" s="300"/>
      <c r="CN35" s="301"/>
      <c r="CO35" s="300"/>
      <c r="CP35" s="300"/>
      <c r="CS35" s="298"/>
      <c r="CT35" s="299"/>
      <c r="CU35" s="300"/>
      <c r="CV35" s="300"/>
      <c r="CW35" s="300"/>
      <c r="CX35" s="300"/>
      <c r="CY35" s="301"/>
      <c r="CZ35" s="300"/>
      <c r="DA35" s="300"/>
      <c r="DD35" s="298"/>
      <c r="DE35" s="299"/>
      <c r="DF35" s="300"/>
      <c r="DG35" s="300"/>
      <c r="DH35" s="300"/>
      <c r="DI35" s="300"/>
      <c r="DJ35" s="301"/>
      <c r="DK35" s="300"/>
      <c r="DL35" s="300"/>
      <c r="DO35" s="298"/>
      <c r="DP35" s="299"/>
      <c r="DQ35" s="300"/>
      <c r="DR35" s="300"/>
      <c r="DS35" s="300"/>
      <c r="DT35" s="300"/>
      <c r="DU35" s="301"/>
      <c r="DV35" s="300"/>
      <c r="DW35" s="300"/>
      <c r="DZ35" s="298"/>
      <c r="EA35" s="299"/>
      <c r="EB35" s="300"/>
      <c r="EC35" s="300"/>
      <c r="ED35" s="300"/>
      <c r="EE35" s="300"/>
      <c r="EF35" s="301"/>
      <c r="EG35" s="300"/>
      <c r="EH35" s="300"/>
    </row>
    <row r="36" spans="1:138">
      <c r="B36" s="294" t="s">
        <v>187</v>
      </c>
      <c r="C36" s="295"/>
      <c r="D36" s="296" t="s">
        <v>175</v>
      </c>
      <c r="E36" s="296" t="s">
        <v>176</v>
      </c>
      <c r="F36" s="296" t="s">
        <v>177</v>
      </c>
      <c r="G36" s="296" t="s">
        <v>178</v>
      </c>
      <c r="H36" s="296" t="s">
        <v>179</v>
      </c>
      <c r="I36" s="296" t="s">
        <v>180</v>
      </c>
      <c r="J36" s="296"/>
      <c r="L36" s="294" t="s">
        <v>187</v>
      </c>
      <c r="M36" s="295"/>
      <c r="N36" s="296" t="s">
        <v>175</v>
      </c>
      <c r="O36" s="296" t="s">
        <v>176</v>
      </c>
      <c r="P36" s="296" t="s">
        <v>177</v>
      </c>
      <c r="Q36" s="296" t="s">
        <v>178</v>
      </c>
      <c r="R36" s="296" t="s">
        <v>179</v>
      </c>
      <c r="S36" s="296" t="s">
        <v>180</v>
      </c>
      <c r="T36" s="296"/>
      <c r="V36" s="294" t="s">
        <v>187</v>
      </c>
      <c r="W36" s="295"/>
      <c r="X36" s="296" t="s">
        <v>175</v>
      </c>
      <c r="Y36" s="296" t="s">
        <v>176</v>
      </c>
      <c r="Z36" s="296" t="s">
        <v>177</v>
      </c>
      <c r="AA36" s="296" t="s">
        <v>178</v>
      </c>
      <c r="AB36" s="296" t="s">
        <v>179</v>
      </c>
      <c r="AC36" s="296" t="s">
        <v>180</v>
      </c>
      <c r="AD36" s="296"/>
      <c r="AF36" s="294" t="s">
        <v>187</v>
      </c>
      <c r="AG36" s="295"/>
      <c r="AH36" s="296" t="s">
        <v>175</v>
      </c>
      <c r="AI36" s="296" t="s">
        <v>176</v>
      </c>
      <c r="AJ36" s="296" t="s">
        <v>177</v>
      </c>
      <c r="AK36" s="296" t="s">
        <v>178</v>
      </c>
      <c r="AL36" s="296" t="s">
        <v>179</v>
      </c>
      <c r="AM36" s="296" t="s">
        <v>180</v>
      </c>
      <c r="AN36" s="296"/>
      <c r="AP36" s="294" t="s">
        <v>187</v>
      </c>
      <c r="AQ36" s="295"/>
      <c r="AR36" s="296" t="s">
        <v>175</v>
      </c>
      <c r="AS36" s="296" t="s">
        <v>176</v>
      </c>
      <c r="AT36" s="296" t="s">
        <v>177</v>
      </c>
      <c r="AU36" s="296" t="s">
        <v>178</v>
      </c>
      <c r="AV36" s="296" t="s">
        <v>179</v>
      </c>
      <c r="AW36" s="296" t="s">
        <v>180</v>
      </c>
      <c r="AX36" s="296"/>
      <c r="AY36"/>
      <c r="BA36" s="294" t="s">
        <v>187</v>
      </c>
      <c r="BB36" s="295"/>
      <c r="BC36" s="296" t="s">
        <v>175</v>
      </c>
      <c r="BD36" s="296" t="s">
        <v>176</v>
      </c>
      <c r="BE36" s="296" t="s">
        <v>177</v>
      </c>
      <c r="BF36" s="296" t="s">
        <v>178</v>
      </c>
      <c r="BG36" s="296" t="s">
        <v>179</v>
      </c>
      <c r="BH36" s="296" t="s">
        <v>180</v>
      </c>
      <c r="BI36" s="296"/>
      <c r="BL36" s="294" t="s">
        <v>187</v>
      </c>
      <c r="BM36" s="295"/>
      <c r="BN36" s="296" t="s">
        <v>175</v>
      </c>
      <c r="BO36" s="296" t="s">
        <v>176</v>
      </c>
      <c r="BP36" s="296" t="s">
        <v>177</v>
      </c>
      <c r="BQ36" s="296" t="s">
        <v>178</v>
      </c>
      <c r="BR36" s="296" t="s">
        <v>179</v>
      </c>
      <c r="BS36" s="296" t="s">
        <v>180</v>
      </c>
      <c r="BT36" s="296"/>
      <c r="BW36" s="294" t="s">
        <v>187</v>
      </c>
      <c r="BX36" s="295"/>
      <c r="BY36" s="296" t="s">
        <v>175</v>
      </c>
      <c r="BZ36" s="296" t="s">
        <v>176</v>
      </c>
      <c r="CA36" s="296" t="s">
        <v>177</v>
      </c>
      <c r="CB36" s="296" t="s">
        <v>178</v>
      </c>
      <c r="CC36" s="296" t="s">
        <v>179</v>
      </c>
      <c r="CD36" s="296" t="s">
        <v>180</v>
      </c>
      <c r="CE36" s="296"/>
      <c r="CH36" s="294" t="s">
        <v>187</v>
      </c>
      <c r="CI36" s="295"/>
      <c r="CJ36" s="296" t="s">
        <v>175</v>
      </c>
      <c r="CK36" s="296" t="s">
        <v>176</v>
      </c>
      <c r="CL36" s="296" t="s">
        <v>177</v>
      </c>
      <c r="CM36" s="296" t="s">
        <v>178</v>
      </c>
      <c r="CN36" s="296" t="s">
        <v>179</v>
      </c>
      <c r="CO36" s="296" t="s">
        <v>180</v>
      </c>
      <c r="CP36" s="296"/>
      <c r="CS36" s="294" t="s">
        <v>187</v>
      </c>
      <c r="CT36" s="295"/>
      <c r="CU36" s="296" t="s">
        <v>175</v>
      </c>
      <c r="CV36" s="296" t="s">
        <v>176</v>
      </c>
      <c r="CW36" s="296" t="s">
        <v>177</v>
      </c>
      <c r="CX36" s="296" t="s">
        <v>178</v>
      </c>
      <c r="CY36" s="296" t="s">
        <v>179</v>
      </c>
      <c r="CZ36" s="296" t="s">
        <v>180</v>
      </c>
      <c r="DA36" s="296"/>
      <c r="DD36" s="294" t="s">
        <v>187</v>
      </c>
      <c r="DE36" s="295"/>
      <c r="DF36" s="296" t="s">
        <v>175</v>
      </c>
      <c r="DG36" s="296" t="s">
        <v>176</v>
      </c>
      <c r="DH36" s="296" t="s">
        <v>177</v>
      </c>
      <c r="DI36" s="296" t="s">
        <v>178</v>
      </c>
      <c r="DJ36" s="296" t="s">
        <v>179</v>
      </c>
      <c r="DK36" s="296" t="s">
        <v>180</v>
      </c>
      <c r="DL36" s="296"/>
      <c r="DO36" s="294" t="s">
        <v>187</v>
      </c>
      <c r="DP36" s="295"/>
      <c r="DQ36" s="296" t="s">
        <v>175</v>
      </c>
      <c r="DR36" s="296" t="s">
        <v>176</v>
      </c>
      <c r="DS36" s="296" t="s">
        <v>177</v>
      </c>
      <c r="DT36" s="296" t="s">
        <v>178</v>
      </c>
      <c r="DU36" s="296" t="s">
        <v>179</v>
      </c>
      <c r="DV36" s="296" t="s">
        <v>180</v>
      </c>
      <c r="DW36" s="296"/>
      <c r="DZ36" s="294" t="s">
        <v>187</v>
      </c>
      <c r="EA36" s="295"/>
      <c r="EB36" s="296" t="s">
        <v>175</v>
      </c>
      <c r="EC36" s="296" t="s">
        <v>176</v>
      </c>
      <c r="ED36" s="296" t="s">
        <v>177</v>
      </c>
      <c r="EE36" s="296" t="s">
        <v>178</v>
      </c>
      <c r="EF36" s="296" t="s">
        <v>179</v>
      </c>
      <c r="EG36" s="296" t="s">
        <v>180</v>
      </c>
      <c r="EH36" s="296"/>
    </row>
    <row r="37" spans="1:138">
      <c r="B37" s="294">
        <f>SUM(F38:F42)</f>
        <v>0</v>
      </c>
      <c r="C37" s="295" t="s">
        <v>181</v>
      </c>
      <c r="D37" s="296"/>
      <c r="E37" s="296"/>
      <c r="F37" s="296" t="s">
        <v>181</v>
      </c>
      <c r="G37" s="296" t="s">
        <v>794</v>
      </c>
      <c r="H37" s="296" t="s">
        <v>86</v>
      </c>
      <c r="I37" s="296" t="s">
        <v>119</v>
      </c>
      <c r="J37" s="296"/>
      <c r="L37" s="294">
        <f>SUM(P38:P42)</f>
        <v>0</v>
      </c>
      <c r="M37" s="295" t="s">
        <v>181</v>
      </c>
      <c r="N37" s="296"/>
      <c r="O37" s="296"/>
      <c r="P37" s="296" t="s">
        <v>181</v>
      </c>
      <c r="Q37" s="296" t="s">
        <v>119</v>
      </c>
      <c r="R37" s="296" t="s">
        <v>86</v>
      </c>
      <c r="S37" s="296" t="s">
        <v>119</v>
      </c>
      <c r="T37" s="296"/>
      <c r="V37" s="294">
        <f>SUM(Z38:Z42)</f>
        <v>0</v>
      </c>
      <c r="W37" s="295" t="s">
        <v>181</v>
      </c>
      <c r="X37" s="296"/>
      <c r="Y37" s="296"/>
      <c r="Z37" s="296" t="s">
        <v>181</v>
      </c>
      <c r="AA37" s="296" t="s">
        <v>119</v>
      </c>
      <c r="AB37" s="296" t="s">
        <v>86</v>
      </c>
      <c r="AC37" s="296" t="s">
        <v>119</v>
      </c>
      <c r="AD37" s="296"/>
      <c r="AF37" s="294">
        <f>SUM(AJ38:AJ42)</f>
        <v>0</v>
      </c>
      <c r="AG37" s="295" t="s">
        <v>181</v>
      </c>
      <c r="AH37" s="296"/>
      <c r="AI37" s="296"/>
      <c r="AJ37" s="296" t="s">
        <v>181</v>
      </c>
      <c r="AK37" s="296" t="s">
        <v>119</v>
      </c>
      <c r="AL37" s="296" t="s">
        <v>86</v>
      </c>
      <c r="AM37" s="296" t="s">
        <v>119</v>
      </c>
      <c r="AN37" s="296"/>
      <c r="AP37" s="294">
        <f>SUM(AT38:AT42)</f>
        <v>0</v>
      </c>
      <c r="AQ37" s="295" t="s">
        <v>181</v>
      </c>
      <c r="AR37" s="296"/>
      <c r="AS37" s="296"/>
      <c r="AT37" s="296" t="s">
        <v>181</v>
      </c>
      <c r="AU37" s="296" t="s">
        <v>119</v>
      </c>
      <c r="AV37" s="296" t="s">
        <v>86</v>
      </c>
      <c r="AW37" s="296" t="s">
        <v>119</v>
      </c>
      <c r="AX37" s="296"/>
      <c r="AY37"/>
      <c r="BA37" s="294">
        <f>SUM(BE38:BE42)</f>
        <v>0</v>
      </c>
      <c r="BB37" s="295" t="s">
        <v>181</v>
      </c>
      <c r="BC37" s="296"/>
      <c r="BD37" s="296"/>
      <c r="BE37" s="296" t="s">
        <v>181</v>
      </c>
      <c r="BF37" s="296" t="s">
        <v>119</v>
      </c>
      <c r="BG37" s="296" t="s">
        <v>86</v>
      </c>
      <c r="BH37" s="296" t="s">
        <v>119</v>
      </c>
      <c r="BI37" s="296"/>
      <c r="BL37" s="294">
        <f>SUM(BP38:BP42)</f>
        <v>0</v>
      </c>
      <c r="BM37" s="295" t="s">
        <v>181</v>
      </c>
      <c r="BN37" s="296"/>
      <c r="BO37" s="296"/>
      <c r="BP37" s="296" t="s">
        <v>181</v>
      </c>
      <c r="BQ37" s="296" t="s">
        <v>119</v>
      </c>
      <c r="BR37" s="296" t="s">
        <v>86</v>
      </c>
      <c r="BS37" s="296" t="s">
        <v>119</v>
      </c>
      <c r="BT37" s="296"/>
      <c r="BW37" s="294">
        <f>SUM(CA38:CA42)</f>
        <v>0</v>
      </c>
      <c r="BX37" s="295" t="s">
        <v>181</v>
      </c>
      <c r="BY37" s="296"/>
      <c r="BZ37" s="296"/>
      <c r="CA37" s="296" t="s">
        <v>181</v>
      </c>
      <c r="CB37" s="296" t="s">
        <v>119</v>
      </c>
      <c r="CC37" s="296" t="s">
        <v>86</v>
      </c>
      <c r="CD37" s="296" t="s">
        <v>119</v>
      </c>
      <c r="CE37" s="296"/>
      <c r="CH37" s="294">
        <f>SUM(CL38:CL42)</f>
        <v>0</v>
      </c>
      <c r="CI37" s="295" t="s">
        <v>181</v>
      </c>
      <c r="CJ37" s="296"/>
      <c r="CK37" s="296"/>
      <c r="CL37" s="296" t="s">
        <v>181</v>
      </c>
      <c r="CM37" s="296" t="s">
        <v>119</v>
      </c>
      <c r="CN37" s="296" t="s">
        <v>86</v>
      </c>
      <c r="CO37" s="296" t="s">
        <v>119</v>
      </c>
      <c r="CP37" s="296"/>
      <c r="CS37" s="294">
        <f>SUM(CW38:CW42)</f>
        <v>0</v>
      </c>
      <c r="CT37" s="295" t="s">
        <v>181</v>
      </c>
      <c r="CU37" s="296"/>
      <c r="CV37" s="296"/>
      <c r="CW37" s="296" t="s">
        <v>181</v>
      </c>
      <c r="CX37" s="296" t="s">
        <v>119</v>
      </c>
      <c r="CY37" s="296" t="s">
        <v>86</v>
      </c>
      <c r="CZ37" s="296" t="s">
        <v>119</v>
      </c>
      <c r="DA37" s="296"/>
      <c r="DD37" s="294">
        <f>SUM(DH38:DH42)</f>
        <v>0</v>
      </c>
      <c r="DE37" s="295" t="s">
        <v>181</v>
      </c>
      <c r="DF37" s="296"/>
      <c r="DG37" s="296"/>
      <c r="DH37" s="296" t="s">
        <v>181</v>
      </c>
      <c r="DI37" s="296" t="s">
        <v>119</v>
      </c>
      <c r="DJ37" s="296" t="s">
        <v>86</v>
      </c>
      <c r="DK37" s="296" t="s">
        <v>119</v>
      </c>
      <c r="DL37" s="296"/>
      <c r="DO37" s="294">
        <f>SUM(DS38:DS42)</f>
        <v>0</v>
      </c>
      <c r="DP37" s="295" t="s">
        <v>181</v>
      </c>
      <c r="DQ37" s="296"/>
      <c r="DR37" s="296"/>
      <c r="DS37" s="296" t="s">
        <v>181</v>
      </c>
      <c r="DT37" s="296" t="s">
        <v>119</v>
      </c>
      <c r="DU37" s="296" t="s">
        <v>86</v>
      </c>
      <c r="DV37" s="296" t="s">
        <v>119</v>
      </c>
      <c r="DW37" s="296"/>
      <c r="DZ37" s="294">
        <f>SUM(ED38:ED42)</f>
        <v>0</v>
      </c>
      <c r="EA37" s="295" t="s">
        <v>181</v>
      </c>
      <c r="EB37" s="296"/>
      <c r="EC37" s="296"/>
      <c r="ED37" s="296" t="s">
        <v>181</v>
      </c>
      <c r="EE37" s="296" t="s">
        <v>119</v>
      </c>
      <c r="EF37" s="296" t="s">
        <v>86</v>
      </c>
      <c r="EG37" s="296" t="s">
        <v>119</v>
      </c>
      <c r="EH37" s="296"/>
    </row>
    <row r="38" spans="1:138">
      <c r="B38" s="294"/>
      <c r="C38" s="295"/>
      <c r="D38" s="296"/>
      <c r="E38" s="296"/>
      <c r="F38" s="297"/>
      <c r="G38" s="297"/>
      <c r="H38" s="296"/>
      <c r="I38" s="296"/>
      <c r="J38" s="296"/>
      <c r="L38" s="294"/>
      <c r="M38" s="295"/>
      <c r="N38" s="296"/>
      <c r="O38" s="296"/>
      <c r="P38" s="297"/>
      <c r="Q38" s="297"/>
      <c r="R38" s="296"/>
      <c r="S38" s="296"/>
      <c r="T38" s="296"/>
      <c r="V38" s="294"/>
      <c r="W38" s="295"/>
      <c r="X38" s="296"/>
      <c r="Y38" s="296"/>
      <c r="Z38" s="297"/>
      <c r="AA38" s="297"/>
      <c r="AB38" s="296"/>
      <c r="AC38" s="296"/>
      <c r="AD38" s="296"/>
      <c r="AF38" s="294"/>
      <c r="AG38" s="295"/>
      <c r="AH38" s="296"/>
      <c r="AI38" s="296"/>
      <c r="AJ38" s="297"/>
      <c r="AK38" s="297"/>
      <c r="AL38" s="296"/>
      <c r="AM38" s="296"/>
      <c r="AN38" s="296"/>
      <c r="AP38" s="294"/>
      <c r="AQ38" s="295"/>
      <c r="AR38" s="296"/>
      <c r="AS38" s="296"/>
      <c r="AT38" s="297"/>
      <c r="AU38" s="297"/>
      <c r="AV38" s="296"/>
      <c r="AW38" s="296"/>
      <c r="AX38" s="296"/>
      <c r="AY38"/>
      <c r="BA38" s="294"/>
      <c r="BB38" s="295"/>
      <c r="BC38" s="296"/>
      <c r="BD38" s="296"/>
      <c r="BE38" s="297"/>
      <c r="BF38" s="297"/>
      <c r="BG38" s="296"/>
      <c r="BH38" s="296"/>
      <c r="BI38" s="296"/>
      <c r="BL38" s="294"/>
      <c r="BM38" s="295"/>
      <c r="BN38" s="296"/>
      <c r="BO38" s="296"/>
      <c r="BP38" s="297"/>
      <c r="BQ38" s="297"/>
      <c r="BR38" s="296"/>
      <c r="BS38" s="296"/>
      <c r="BT38" s="296"/>
      <c r="BW38" s="294"/>
      <c r="BX38" s="295"/>
      <c r="BY38" s="296"/>
      <c r="BZ38" s="296"/>
      <c r="CA38" s="297"/>
      <c r="CB38" s="297"/>
      <c r="CC38" s="296"/>
      <c r="CD38" s="296"/>
      <c r="CE38" s="296"/>
      <c r="CH38" s="294"/>
      <c r="CI38" s="295"/>
      <c r="CJ38" s="296"/>
      <c r="CK38" s="296"/>
      <c r="CL38" s="297"/>
      <c r="CM38" s="297"/>
      <c r="CN38" s="296"/>
      <c r="CO38" s="296"/>
      <c r="CP38" s="296"/>
      <c r="CS38" s="294"/>
      <c r="CT38" s="295"/>
      <c r="CU38" s="296"/>
      <c r="CV38" s="296"/>
      <c r="CW38" s="297"/>
      <c r="CX38" s="297"/>
      <c r="CY38" s="296"/>
      <c r="CZ38" s="296"/>
      <c r="DA38" s="296"/>
      <c r="DD38" s="294"/>
      <c r="DE38" s="295"/>
      <c r="DF38" s="296"/>
      <c r="DG38" s="296"/>
      <c r="DH38" s="297"/>
      <c r="DI38" s="297"/>
      <c r="DJ38" s="296"/>
      <c r="DK38" s="296"/>
      <c r="DL38" s="296"/>
      <c r="DO38" s="294"/>
      <c r="DP38" s="295"/>
      <c r="DQ38" s="296"/>
      <c r="DR38" s="296"/>
      <c r="DS38" s="297"/>
      <c r="DT38" s="297"/>
      <c r="DU38" s="296"/>
      <c r="DV38" s="296"/>
      <c r="DW38" s="296"/>
      <c r="DZ38" s="294"/>
      <c r="EA38" s="295"/>
      <c r="EB38" s="296"/>
      <c r="EC38" s="296"/>
      <c r="ED38" s="297"/>
      <c r="EE38" s="297"/>
      <c r="EF38" s="296"/>
      <c r="EG38" s="296"/>
      <c r="EH38" s="296"/>
    </row>
    <row r="39" spans="1:138">
      <c r="B39" s="294"/>
      <c r="C39" s="295"/>
      <c r="D39" s="296"/>
      <c r="E39" s="296"/>
      <c r="F39" s="296"/>
      <c r="G39" s="296"/>
      <c r="H39" s="296"/>
      <c r="I39" s="296"/>
      <c r="J39" s="296"/>
      <c r="L39" s="294"/>
      <c r="M39" s="295"/>
      <c r="N39" s="296"/>
      <c r="O39" s="296"/>
      <c r="P39" s="296"/>
      <c r="Q39" s="296"/>
      <c r="R39" s="296"/>
      <c r="S39" s="296"/>
      <c r="T39" s="296"/>
      <c r="V39" s="294"/>
      <c r="W39" s="295"/>
      <c r="X39" s="296"/>
      <c r="Y39" s="296"/>
      <c r="Z39" s="296"/>
      <c r="AA39" s="296"/>
      <c r="AB39" s="296"/>
      <c r="AC39" s="296"/>
      <c r="AD39" s="296"/>
      <c r="AF39" s="294"/>
      <c r="AG39" s="295"/>
      <c r="AH39" s="296"/>
      <c r="AI39" s="296"/>
      <c r="AJ39" s="296"/>
      <c r="AK39" s="296"/>
      <c r="AL39" s="296"/>
      <c r="AM39" s="296"/>
      <c r="AN39" s="296"/>
      <c r="AP39" s="294"/>
      <c r="AQ39" s="295"/>
      <c r="AR39" s="296"/>
      <c r="AS39" s="296"/>
      <c r="AT39" s="296"/>
      <c r="AU39" s="296"/>
      <c r="AV39" s="296"/>
      <c r="AW39" s="296"/>
      <c r="AX39" s="296"/>
      <c r="AY39"/>
      <c r="BA39" s="294"/>
      <c r="BB39" s="295"/>
      <c r="BC39" s="296"/>
      <c r="BD39" s="296"/>
      <c r="BE39" s="296"/>
      <c r="BF39" s="296"/>
      <c r="BG39" s="296"/>
      <c r="BH39" s="296"/>
      <c r="BI39" s="296"/>
      <c r="BL39" s="294"/>
      <c r="BM39" s="295"/>
      <c r="BN39" s="296"/>
      <c r="BO39" s="296"/>
      <c r="BP39" s="296"/>
      <c r="BQ39" s="296"/>
      <c r="BR39" s="296"/>
      <c r="BS39" s="296"/>
      <c r="BT39" s="296"/>
      <c r="BW39" s="294"/>
      <c r="BX39" s="295"/>
      <c r="BY39" s="296"/>
      <c r="BZ39" s="296"/>
      <c r="CA39" s="296"/>
      <c r="CB39" s="296"/>
      <c r="CC39" s="296"/>
      <c r="CD39" s="296"/>
      <c r="CE39" s="296"/>
      <c r="CH39" s="294"/>
      <c r="CI39" s="295"/>
      <c r="CJ39" s="296"/>
      <c r="CK39" s="296"/>
      <c r="CL39" s="296"/>
      <c r="CM39" s="296"/>
      <c r="CN39" s="296"/>
      <c r="CO39" s="296"/>
      <c r="CP39" s="296"/>
      <c r="CS39" s="294"/>
      <c r="CT39" s="295"/>
      <c r="CU39" s="296"/>
      <c r="CV39" s="296"/>
      <c r="CW39" s="296"/>
      <c r="CX39" s="296"/>
      <c r="CY39" s="296"/>
      <c r="CZ39" s="296"/>
      <c r="DA39" s="296"/>
      <c r="DD39" s="294"/>
      <c r="DE39" s="295"/>
      <c r="DF39" s="296"/>
      <c r="DG39" s="296"/>
      <c r="DH39" s="296"/>
      <c r="DI39" s="296"/>
      <c r="DJ39" s="296"/>
      <c r="DK39" s="296"/>
      <c r="DL39" s="296"/>
      <c r="DO39" s="294"/>
      <c r="DP39" s="295"/>
      <c r="DQ39" s="296"/>
      <c r="DR39" s="296"/>
      <c r="DS39" s="296"/>
      <c r="DT39" s="296"/>
      <c r="DU39" s="296"/>
      <c r="DV39" s="296"/>
      <c r="DW39" s="296"/>
      <c r="DZ39" s="294"/>
      <c r="EA39" s="295"/>
      <c r="EB39" s="296"/>
      <c r="EC39" s="296"/>
      <c r="ED39" s="296"/>
      <c r="EE39" s="296"/>
      <c r="EF39" s="296"/>
      <c r="EG39" s="296"/>
      <c r="EH39" s="296"/>
    </row>
    <row r="40" spans="1:138">
      <c r="B40" s="294"/>
      <c r="C40" s="295"/>
      <c r="D40" s="296"/>
      <c r="E40" s="296"/>
      <c r="F40" s="296"/>
      <c r="G40" s="296"/>
      <c r="H40" s="296"/>
      <c r="I40" s="296"/>
      <c r="J40" s="296"/>
      <c r="L40" s="294"/>
      <c r="M40" s="295"/>
      <c r="N40" s="296"/>
      <c r="O40" s="296"/>
      <c r="P40" s="296"/>
      <c r="Q40" s="296"/>
      <c r="R40" s="296"/>
      <c r="S40" s="296"/>
      <c r="T40" s="296"/>
      <c r="V40" s="294"/>
      <c r="W40" s="295"/>
      <c r="X40" s="296"/>
      <c r="Y40" s="296"/>
      <c r="Z40" s="296"/>
      <c r="AA40" s="296"/>
      <c r="AB40" s="296"/>
      <c r="AC40" s="296"/>
      <c r="AD40" s="296"/>
      <c r="AF40" s="294"/>
      <c r="AG40" s="295"/>
      <c r="AH40" s="296"/>
      <c r="AI40" s="296"/>
      <c r="AJ40" s="296"/>
      <c r="AK40" s="296"/>
      <c r="AL40" s="296"/>
      <c r="AM40" s="296"/>
      <c r="AN40" s="296"/>
      <c r="AP40" s="294"/>
      <c r="AQ40" s="295"/>
      <c r="AR40" s="296"/>
      <c r="AS40" s="296"/>
      <c r="AT40" s="296"/>
      <c r="AU40" s="296"/>
      <c r="AV40" s="296"/>
      <c r="AW40" s="296"/>
      <c r="AX40" s="296"/>
      <c r="AY40"/>
      <c r="BA40" s="294"/>
      <c r="BB40" s="295"/>
      <c r="BC40" s="296"/>
      <c r="BD40" s="296"/>
      <c r="BE40" s="296"/>
      <c r="BF40" s="296"/>
      <c r="BG40" s="296"/>
      <c r="BH40" s="296"/>
      <c r="BI40" s="296"/>
      <c r="BL40" s="294"/>
      <c r="BM40" s="295"/>
      <c r="BN40" s="296"/>
      <c r="BO40" s="296"/>
      <c r="BP40" s="296"/>
      <c r="BQ40" s="296"/>
      <c r="BR40" s="296"/>
      <c r="BS40" s="296"/>
      <c r="BT40" s="296"/>
      <c r="BW40" s="294"/>
      <c r="BX40" s="295"/>
      <c r="BY40" s="296"/>
      <c r="BZ40" s="296"/>
      <c r="CA40" s="296"/>
      <c r="CB40" s="296"/>
      <c r="CC40" s="296"/>
      <c r="CD40" s="296"/>
      <c r="CE40" s="296"/>
      <c r="CH40" s="294"/>
      <c r="CI40" s="295"/>
      <c r="CJ40" s="296"/>
      <c r="CK40" s="296"/>
      <c r="CL40" s="296"/>
      <c r="CM40" s="296"/>
      <c r="CN40" s="296"/>
      <c r="CO40" s="296"/>
      <c r="CP40" s="296"/>
      <c r="CS40" s="294"/>
      <c r="CT40" s="295"/>
      <c r="CU40" s="296"/>
      <c r="CV40" s="296"/>
      <c r="CW40" s="296"/>
      <c r="CX40" s="296"/>
      <c r="CY40" s="296"/>
      <c r="CZ40" s="296"/>
      <c r="DA40" s="296"/>
      <c r="DD40" s="294"/>
      <c r="DE40" s="295"/>
      <c r="DF40" s="296"/>
      <c r="DG40" s="296"/>
      <c r="DH40" s="296"/>
      <c r="DI40" s="296"/>
      <c r="DJ40" s="296"/>
      <c r="DK40" s="296"/>
      <c r="DL40" s="296"/>
      <c r="DO40" s="294"/>
      <c r="DP40" s="295"/>
      <c r="DQ40" s="296"/>
      <c r="DR40" s="296"/>
      <c r="DS40" s="296"/>
      <c r="DT40" s="296"/>
      <c r="DU40" s="296"/>
      <c r="DV40" s="296"/>
      <c r="DW40" s="296"/>
      <c r="DZ40" s="294"/>
      <c r="EA40" s="295"/>
      <c r="EB40" s="296"/>
      <c r="EC40" s="296"/>
      <c r="ED40" s="296"/>
      <c r="EE40" s="296"/>
      <c r="EF40" s="296"/>
      <c r="EG40" s="296"/>
      <c r="EH40" s="296"/>
    </row>
    <row r="41" spans="1:138">
      <c r="B41" s="294"/>
      <c r="C41" s="295"/>
      <c r="D41" s="296"/>
      <c r="E41" s="296"/>
      <c r="F41" s="296"/>
      <c r="G41" s="296"/>
      <c r="H41" s="296"/>
      <c r="I41" s="296"/>
      <c r="J41" s="296"/>
      <c r="L41" s="294"/>
      <c r="M41" s="295"/>
      <c r="N41" s="296"/>
      <c r="O41" s="296"/>
      <c r="P41" s="296"/>
      <c r="Q41" s="296"/>
      <c r="R41" s="296"/>
      <c r="S41" s="296"/>
      <c r="T41" s="296"/>
      <c r="V41" s="294"/>
      <c r="W41" s="295"/>
      <c r="X41" s="296"/>
      <c r="Y41" s="296"/>
      <c r="Z41" s="296"/>
      <c r="AA41" s="296"/>
      <c r="AB41" s="296"/>
      <c r="AC41" s="296"/>
      <c r="AD41" s="296"/>
      <c r="AF41" s="294"/>
      <c r="AG41" s="295"/>
      <c r="AH41" s="296"/>
      <c r="AI41" s="296"/>
      <c r="AJ41" s="296"/>
      <c r="AK41" s="296"/>
      <c r="AL41" s="296"/>
      <c r="AM41" s="296"/>
      <c r="AN41" s="296"/>
      <c r="AP41" s="294"/>
      <c r="AQ41" s="295"/>
      <c r="AR41" s="296"/>
      <c r="AS41" s="296"/>
      <c r="AT41" s="296"/>
      <c r="AU41" s="296"/>
      <c r="AV41" s="296"/>
      <c r="AW41" s="296"/>
      <c r="AX41" s="296"/>
      <c r="AY41"/>
      <c r="BA41" s="294"/>
      <c r="BB41" s="295"/>
      <c r="BC41" s="296"/>
      <c r="BD41" s="296"/>
      <c r="BE41" s="296"/>
      <c r="BF41" s="296"/>
      <c r="BG41" s="296"/>
      <c r="BH41" s="296"/>
      <c r="BI41" s="296"/>
      <c r="BL41" s="294"/>
      <c r="BM41" s="295"/>
      <c r="BN41" s="296"/>
      <c r="BO41" s="296"/>
      <c r="BP41" s="296"/>
      <c r="BQ41" s="296"/>
      <c r="BR41" s="296"/>
      <c r="BS41" s="296"/>
      <c r="BT41" s="296"/>
      <c r="BW41" s="294"/>
      <c r="BX41" s="295"/>
      <c r="BY41" s="296"/>
      <c r="BZ41" s="296"/>
      <c r="CA41" s="296"/>
      <c r="CB41" s="296"/>
      <c r="CC41" s="296"/>
      <c r="CD41" s="296"/>
      <c r="CE41" s="296"/>
      <c r="CH41" s="294"/>
      <c r="CI41" s="295"/>
      <c r="CJ41" s="296"/>
      <c r="CK41" s="296"/>
      <c r="CL41" s="296"/>
      <c r="CM41" s="296"/>
      <c r="CN41" s="296"/>
      <c r="CO41" s="296"/>
      <c r="CP41" s="296"/>
      <c r="CS41" s="294"/>
      <c r="CT41" s="295"/>
      <c r="CU41" s="296"/>
      <c r="CV41" s="296"/>
      <c r="CW41" s="296"/>
      <c r="CX41" s="296"/>
      <c r="CY41" s="296"/>
      <c r="CZ41" s="296"/>
      <c r="DA41" s="296"/>
      <c r="DD41" s="294"/>
      <c r="DE41" s="295"/>
      <c r="DF41" s="296"/>
      <c r="DG41" s="296"/>
      <c r="DH41" s="296"/>
      <c r="DI41" s="296"/>
      <c r="DJ41" s="296"/>
      <c r="DK41" s="296"/>
      <c r="DL41" s="296"/>
      <c r="DO41" s="294"/>
      <c r="DP41" s="295"/>
      <c r="DQ41" s="296"/>
      <c r="DR41" s="296"/>
      <c r="DS41" s="296"/>
      <c r="DT41" s="296"/>
      <c r="DU41" s="296"/>
      <c r="DV41" s="296"/>
      <c r="DW41" s="296"/>
      <c r="DZ41" s="294"/>
      <c r="EA41" s="295"/>
      <c r="EB41" s="296"/>
      <c r="EC41" s="296"/>
      <c r="ED41" s="296"/>
      <c r="EE41" s="296"/>
      <c r="EF41" s="296"/>
      <c r="EG41" s="296"/>
      <c r="EH41" s="296"/>
    </row>
    <row r="42" spans="1:138">
      <c r="B42" s="294"/>
      <c r="C42" s="295"/>
      <c r="D42" s="296"/>
      <c r="E42" s="296"/>
      <c r="F42" s="296"/>
      <c r="G42" s="296"/>
      <c r="H42" s="296"/>
      <c r="I42" s="296"/>
      <c r="J42" s="296"/>
      <c r="L42" s="294"/>
      <c r="M42" s="295"/>
      <c r="N42" s="296"/>
      <c r="O42" s="296"/>
      <c r="P42" s="296"/>
      <c r="Q42" s="296"/>
      <c r="R42" s="296"/>
      <c r="S42" s="296"/>
      <c r="T42" s="296"/>
      <c r="V42" s="294"/>
      <c r="W42" s="295"/>
      <c r="X42" s="296"/>
      <c r="Y42" s="296"/>
      <c r="Z42" s="296"/>
      <c r="AA42" s="296"/>
      <c r="AB42" s="296"/>
      <c r="AC42" s="296"/>
      <c r="AD42" s="296"/>
      <c r="AF42" s="294"/>
      <c r="AG42" s="295"/>
      <c r="AH42" s="296"/>
      <c r="AI42" s="296"/>
      <c r="AJ42" s="296"/>
      <c r="AK42" s="296"/>
      <c r="AL42" s="296"/>
      <c r="AM42" s="296"/>
      <c r="AN42" s="296"/>
      <c r="AP42" s="294"/>
      <c r="AQ42" s="295"/>
      <c r="AR42" s="296"/>
      <c r="AS42" s="296"/>
      <c r="AT42" s="296"/>
      <c r="AU42" s="296"/>
      <c r="AV42" s="296"/>
      <c r="AW42" s="296"/>
      <c r="AX42" s="296"/>
      <c r="AY42"/>
      <c r="BA42" s="294"/>
      <c r="BB42" s="295"/>
      <c r="BC42" s="296"/>
      <c r="BD42" s="296"/>
      <c r="BE42" s="296"/>
      <c r="BF42" s="296"/>
      <c r="BG42" s="296"/>
      <c r="BH42" s="296"/>
      <c r="BI42" s="296"/>
      <c r="BL42" s="294"/>
      <c r="BM42" s="295"/>
      <c r="BN42" s="296"/>
      <c r="BO42" s="296"/>
      <c r="BP42" s="296"/>
      <c r="BQ42" s="296"/>
      <c r="BR42" s="296"/>
      <c r="BS42" s="296"/>
      <c r="BT42" s="296"/>
      <c r="BW42" s="294"/>
      <c r="BX42" s="295"/>
      <c r="BY42" s="296"/>
      <c r="BZ42" s="296"/>
      <c r="CA42" s="296"/>
      <c r="CB42" s="296"/>
      <c r="CC42" s="296"/>
      <c r="CD42" s="296"/>
      <c r="CE42" s="296"/>
      <c r="CH42" s="294"/>
      <c r="CI42" s="295"/>
      <c r="CJ42" s="296"/>
      <c r="CK42" s="296"/>
      <c r="CL42" s="296"/>
      <c r="CM42" s="296"/>
      <c r="CN42" s="296"/>
      <c r="CO42" s="296"/>
      <c r="CP42" s="296"/>
      <c r="CS42" s="294"/>
      <c r="CT42" s="295"/>
      <c r="CU42" s="296"/>
      <c r="CV42" s="296"/>
      <c r="CW42" s="296"/>
      <c r="CX42" s="296"/>
      <c r="CY42" s="296"/>
      <c r="CZ42" s="296"/>
      <c r="DA42" s="296"/>
      <c r="DD42" s="294"/>
      <c r="DE42" s="295"/>
      <c r="DF42" s="296"/>
      <c r="DG42" s="296"/>
      <c r="DH42" s="296"/>
      <c r="DI42" s="296"/>
      <c r="DJ42" s="296"/>
      <c r="DK42" s="296"/>
      <c r="DL42" s="296"/>
      <c r="DO42" s="294"/>
      <c r="DP42" s="295"/>
      <c r="DQ42" s="296"/>
      <c r="DR42" s="296"/>
      <c r="DS42" s="296"/>
      <c r="DT42" s="296"/>
      <c r="DU42" s="296"/>
      <c r="DV42" s="296"/>
      <c r="DW42" s="296"/>
      <c r="DZ42" s="294"/>
      <c r="EA42" s="295"/>
      <c r="EB42" s="296"/>
      <c r="EC42" s="296"/>
      <c r="ED42" s="296"/>
      <c r="EE42" s="296"/>
      <c r="EF42" s="296"/>
      <c r="EG42" s="296"/>
      <c r="EH42" s="296"/>
    </row>
    <row r="43" spans="1:138">
      <c r="B43" s="298" t="s">
        <v>791</v>
      </c>
      <c r="C43" s="299"/>
      <c r="D43" s="300" t="s">
        <v>175</v>
      </c>
      <c r="E43" s="300" t="s">
        <v>176</v>
      </c>
      <c r="F43" s="300" t="s">
        <v>177</v>
      </c>
      <c r="G43" s="300" t="s">
        <v>178</v>
      </c>
      <c r="H43" s="300" t="s">
        <v>179</v>
      </c>
      <c r="I43" s="300" t="s">
        <v>180</v>
      </c>
      <c r="J43" s="300"/>
      <c r="L43" s="298" t="s">
        <v>791</v>
      </c>
      <c r="M43" s="299"/>
      <c r="N43" s="300" t="s">
        <v>175</v>
      </c>
      <c r="O43" s="300" t="s">
        <v>176</v>
      </c>
      <c r="P43" s="300" t="s">
        <v>177</v>
      </c>
      <c r="Q43" s="300" t="s">
        <v>178</v>
      </c>
      <c r="R43" s="300" t="s">
        <v>179</v>
      </c>
      <c r="S43" s="300" t="s">
        <v>180</v>
      </c>
      <c r="T43" s="300"/>
      <c r="V43" s="298" t="s">
        <v>791</v>
      </c>
      <c r="W43" s="299"/>
      <c r="X43" s="300" t="s">
        <v>175</v>
      </c>
      <c r="Y43" s="300" t="s">
        <v>176</v>
      </c>
      <c r="Z43" s="300" t="s">
        <v>177</v>
      </c>
      <c r="AA43" s="300" t="s">
        <v>178</v>
      </c>
      <c r="AB43" s="300" t="s">
        <v>179</v>
      </c>
      <c r="AC43" s="300" t="s">
        <v>180</v>
      </c>
      <c r="AD43" s="300"/>
      <c r="AF43" s="298" t="s">
        <v>791</v>
      </c>
      <c r="AG43" s="299"/>
      <c r="AH43" s="300" t="s">
        <v>175</v>
      </c>
      <c r="AI43" s="300" t="s">
        <v>176</v>
      </c>
      <c r="AJ43" s="300" t="s">
        <v>177</v>
      </c>
      <c r="AK43" s="300" t="s">
        <v>178</v>
      </c>
      <c r="AL43" s="300" t="s">
        <v>179</v>
      </c>
      <c r="AM43" s="300" t="s">
        <v>180</v>
      </c>
      <c r="AN43" s="300"/>
      <c r="AP43" s="298" t="s">
        <v>791</v>
      </c>
      <c r="AQ43" s="299"/>
      <c r="AR43" s="300" t="s">
        <v>175</v>
      </c>
      <c r="AS43" s="300" t="s">
        <v>176</v>
      </c>
      <c r="AT43" s="300" t="s">
        <v>177</v>
      </c>
      <c r="AU43" s="300" t="s">
        <v>178</v>
      </c>
      <c r="AV43" s="300" t="s">
        <v>179</v>
      </c>
      <c r="AW43" s="300" t="s">
        <v>180</v>
      </c>
      <c r="AX43" s="300"/>
      <c r="AY43"/>
      <c r="BA43" s="298" t="s">
        <v>791</v>
      </c>
      <c r="BB43" s="299"/>
      <c r="BC43" s="300" t="s">
        <v>175</v>
      </c>
      <c r="BD43" s="300" t="s">
        <v>176</v>
      </c>
      <c r="BE43" s="300" t="s">
        <v>177</v>
      </c>
      <c r="BF43" s="300" t="s">
        <v>178</v>
      </c>
      <c r="BG43" s="300" t="s">
        <v>179</v>
      </c>
      <c r="BH43" s="300" t="s">
        <v>180</v>
      </c>
      <c r="BI43" s="300"/>
      <c r="BL43" s="298" t="s">
        <v>791</v>
      </c>
      <c r="BM43" s="299"/>
      <c r="BN43" s="300" t="s">
        <v>175</v>
      </c>
      <c r="BO43" s="300" t="s">
        <v>176</v>
      </c>
      <c r="BP43" s="300" t="s">
        <v>177</v>
      </c>
      <c r="BQ43" s="300" t="s">
        <v>178</v>
      </c>
      <c r="BR43" s="300" t="s">
        <v>179</v>
      </c>
      <c r="BS43" s="300" t="s">
        <v>180</v>
      </c>
      <c r="BT43" s="300"/>
      <c r="BW43" s="298" t="s">
        <v>791</v>
      </c>
      <c r="BX43" s="299"/>
      <c r="BY43" s="300" t="s">
        <v>175</v>
      </c>
      <c r="BZ43" s="300" t="s">
        <v>176</v>
      </c>
      <c r="CA43" s="300" t="s">
        <v>177</v>
      </c>
      <c r="CB43" s="300" t="s">
        <v>178</v>
      </c>
      <c r="CC43" s="300" t="s">
        <v>179</v>
      </c>
      <c r="CD43" s="300" t="s">
        <v>180</v>
      </c>
      <c r="CE43" s="300"/>
      <c r="CH43" s="298" t="s">
        <v>791</v>
      </c>
      <c r="CI43" s="299"/>
      <c r="CJ43" s="300" t="s">
        <v>175</v>
      </c>
      <c r="CK43" s="300" t="s">
        <v>176</v>
      </c>
      <c r="CL43" s="300" t="s">
        <v>177</v>
      </c>
      <c r="CM43" s="300" t="s">
        <v>178</v>
      </c>
      <c r="CN43" s="300" t="s">
        <v>179</v>
      </c>
      <c r="CO43" s="300" t="s">
        <v>180</v>
      </c>
      <c r="CP43" s="300"/>
      <c r="CS43" s="298" t="s">
        <v>791</v>
      </c>
      <c r="CT43" s="299"/>
      <c r="CU43" s="300" t="s">
        <v>175</v>
      </c>
      <c r="CV43" s="300" t="s">
        <v>176</v>
      </c>
      <c r="CW43" s="300" t="s">
        <v>177</v>
      </c>
      <c r="CX43" s="300" t="s">
        <v>178</v>
      </c>
      <c r="CY43" s="300" t="s">
        <v>179</v>
      </c>
      <c r="CZ43" s="300" t="s">
        <v>180</v>
      </c>
      <c r="DA43" s="300"/>
      <c r="DD43" s="298" t="s">
        <v>791</v>
      </c>
      <c r="DE43" s="299"/>
      <c r="DF43" s="300" t="s">
        <v>175</v>
      </c>
      <c r="DG43" s="300" t="s">
        <v>176</v>
      </c>
      <c r="DH43" s="300" t="s">
        <v>177</v>
      </c>
      <c r="DI43" s="300" t="s">
        <v>178</v>
      </c>
      <c r="DJ43" s="300" t="s">
        <v>179</v>
      </c>
      <c r="DK43" s="300" t="s">
        <v>180</v>
      </c>
      <c r="DL43" s="300"/>
      <c r="DO43" s="298" t="s">
        <v>791</v>
      </c>
      <c r="DP43" s="299"/>
      <c r="DQ43" s="300" t="s">
        <v>175</v>
      </c>
      <c r="DR43" s="300" t="s">
        <v>176</v>
      </c>
      <c r="DS43" s="300" t="s">
        <v>177</v>
      </c>
      <c r="DT43" s="300" t="s">
        <v>178</v>
      </c>
      <c r="DU43" s="300" t="s">
        <v>179</v>
      </c>
      <c r="DV43" s="300" t="s">
        <v>180</v>
      </c>
      <c r="DW43" s="300"/>
      <c r="DZ43" s="298" t="s">
        <v>791</v>
      </c>
      <c r="EA43" s="299"/>
      <c r="EB43" s="300" t="s">
        <v>175</v>
      </c>
      <c r="EC43" s="300" t="s">
        <v>176</v>
      </c>
      <c r="ED43" s="300" t="s">
        <v>177</v>
      </c>
      <c r="EE43" s="300" t="s">
        <v>178</v>
      </c>
      <c r="EF43" s="300" t="s">
        <v>179</v>
      </c>
      <c r="EG43" s="300" t="s">
        <v>180</v>
      </c>
      <c r="EH43" s="300"/>
    </row>
    <row r="44" spans="1:138">
      <c r="A44" s="302"/>
      <c r="B44" s="298">
        <f>SUM(G45:G49)</f>
        <v>0</v>
      </c>
      <c r="C44" s="299" t="s">
        <v>783</v>
      </c>
      <c r="D44" s="300"/>
      <c r="E44" s="300"/>
      <c r="F44" s="300" t="s">
        <v>181</v>
      </c>
      <c r="G44" s="300" t="s">
        <v>787</v>
      </c>
      <c r="H44" s="300" t="s">
        <v>86</v>
      </c>
      <c r="I44" s="300" t="s">
        <v>119</v>
      </c>
      <c r="J44" s="300"/>
      <c r="L44" s="298">
        <f>SUM(Q45:Q49)</f>
        <v>0</v>
      </c>
      <c r="M44" s="299" t="s">
        <v>783</v>
      </c>
      <c r="N44" s="300"/>
      <c r="O44" s="300"/>
      <c r="P44" s="300" t="s">
        <v>181</v>
      </c>
      <c r="Q44" s="300" t="s">
        <v>787</v>
      </c>
      <c r="R44" s="300" t="s">
        <v>86</v>
      </c>
      <c r="S44" s="300" t="s">
        <v>119</v>
      </c>
      <c r="T44" s="300"/>
      <c r="V44" s="298">
        <f>SUM(AA45:AA49)</f>
        <v>0</v>
      </c>
      <c r="W44" s="299" t="s">
        <v>783</v>
      </c>
      <c r="X44" s="300"/>
      <c r="Y44" s="300"/>
      <c r="Z44" s="300" t="s">
        <v>181</v>
      </c>
      <c r="AA44" s="300" t="s">
        <v>787</v>
      </c>
      <c r="AB44" s="300" t="s">
        <v>86</v>
      </c>
      <c r="AC44" s="300" t="s">
        <v>119</v>
      </c>
      <c r="AD44" s="300"/>
      <c r="AF44" s="298">
        <f>SUM(AK45:AK49)</f>
        <v>0</v>
      </c>
      <c r="AG44" s="299" t="s">
        <v>783</v>
      </c>
      <c r="AH44" s="300"/>
      <c r="AI44" s="300"/>
      <c r="AJ44" s="300" t="s">
        <v>181</v>
      </c>
      <c r="AK44" s="300" t="s">
        <v>787</v>
      </c>
      <c r="AL44" s="300" t="s">
        <v>86</v>
      </c>
      <c r="AM44" s="300" t="s">
        <v>119</v>
      </c>
      <c r="AN44" s="300"/>
      <c r="AP44" s="298">
        <f>SUM(AU45:AU49)</f>
        <v>0</v>
      </c>
      <c r="AQ44" s="299" t="s">
        <v>783</v>
      </c>
      <c r="AR44" s="300"/>
      <c r="AS44" s="300"/>
      <c r="AT44" s="300" t="s">
        <v>181</v>
      </c>
      <c r="AU44" s="300" t="s">
        <v>787</v>
      </c>
      <c r="AV44" s="300" t="s">
        <v>86</v>
      </c>
      <c r="AW44" s="300" t="s">
        <v>119</v>
      </c>
      <c r="AX44" s="300"/>
      <c r="AY44"/>
      <c r="BA44" s="298">
        <f>SUM(BF45:BF49)</f>
        <v>0</v>
      </c>
      <c r="BB44" s="299" t="s">
        <v>783</v>
      </c>
      <c r="BC44" s="300"/>
      <c r="BD44" s="300"/>
      <c r="BE44" s="300" t="s">
        <v>181</v>
      </c>
      <c r="BF44" s="300" t="s">
        <v>787</v>
      </c>
      <c r="BG44" s="300" t="s">
        <v>86</v>
      </c>
      <c r="BH44" s="300" t="s">
        <v>119</v>
      </c>
      <c r="BI44" s="300"/>
      <c r="BL44" s="298">
        <f>SUM(BQ45:BQ49)</f>
        <v>0</v>
      </c>
      <c r="BM44" s="299" t="s">
        <v>783</v>
      </c>
      <c r="BN44" s="300"/>
      <c r="BO44" s="300"/>
      <c r="BP44" s="300" t="s">
        <v>181</v>
      </c>
      <c r="BQ44" s="300" t="s">
        <v>787</v>
      </c>
      <c r="BR44" s="300" t="s">
        <v>86</v>
      </c>
      <c r="BS44" s="300" t="s">
        <v>119</v>
      </c>
      <c r="BT44" s="300"/>
      <c r="BW44" s="298">
        <f>SUM(CB45:CB49)</f>
        <v>0</v>
      </c>
      <c r="BX44" s="299" t="s">
        <v>783</v>
      </c>
      <c r="BY44" s="300"/>
      <c r="BZ44" s="300"/>
      <c r="CA44" s="300" t="s">
        <v>181</v>
      </c>
      <c r="CB44" s="300" t="s">
        <v>787</v>
      </c>
      <c r="CC44" s="300" t="s">
        <v>86</v>
      </c>
      <c r="CD44" s="300" t="s">
        <v>119</v>
      </c>
      <c r="CE44" s="300"/>
      <c r="CH44" s="298">
        <f>SUM(CM45:CM49)</f>
        <v>0</v>
      </c>
      <c r="CI44" s="299" t="s">
        <v>783</v>
      </c>
      <c r="CJ44" s="300"/>
      <c r="CK44" s="300"/>
      <c r="CL44" s="300" t="s">
        <v>181</v>
      </c>
      <c r="CM44" s="300" t="s">
        <v>787</v>
      </c>
      <c r="CN44" s="300" t="s">
        <v>86</v>
      </c>
      <c r="CO44" s="300" t="s">
        <v>119</v>
      </c>
      <c r="CP44" s="300"/>
      <c r="CS44" s="298">
        <f>SUM(CX45:CX49)</f>
        <v>0</v>
      </c>
      <c r="CT44" s="299" t="s">
        <v>783</v>
      </c>
      <c r="CU44" s="300"/>
      <c r="CV44" s="300"/>
      <c r="CW44" s="300" t="s">
        <v>181</v>
      </c>
      <c r="CX44" s="300" t="s">
        <v>787</v>
      </c>
      <c r="CY44" s="300" t="s">
        <v>86</v>
      </c>
      <c r="CZ44" s="300" t="s">
        <v>119</v>
      </c>
      <c r="DA44" s="300"/>
      <c r="DD44" s="298">
        <f>SUM(DI45:DI49)</f>
        <v>0</v>
      </c>
      <c r="DE44" s="299" t="s">
        <v>783</v>
      </c>
      <c r="DF44" s="300"/>
      <c r="DG44" s="300"/>
      <c r="DH44" s="300" t="s">
        <v>181</v>
      </c>
      <c r="DI44" s="300" t="s">
        <v>787</v>
      </c>
      <c r="DJ44" s="300" t="s">
        <v>86</v>
      </c>
      <c r="DK44" s="300" t="s">
        <v>119</v>
      </c>
      <c r="DL44" s="300"/>
      <c r="DO44" s="298">
        <f>SUM(DT45:DT49)</f>
        <v>0</v>
      </c>
      <c r="DP44" s="299" t="s">
        <v>783</v>
      </c>
      <c r="DQ44" s="300"/>
      <c r="DR44" s="300"/>
      <c r="DS44" s="300" t="s">
        <v>181</v>
      </c>
      <c r="DT44" s="300" t="s">
        <v>787</v>
      </c>
      <c r="DU44" s="300" t="s">
        <v>86</v>
      </c>
      <c r="DV44" s="300" t="s">
        <v>119</v>
      </c>
      <c r="DW44" s="300"/>
      <c r="DZ44" s="298">
        <f>SUM(EE45:EE49)</f>
        <v>0</v>
      </c>
      <c r="EA44" s="299" t="s">
        <v>783</v>
      </c>
      <c r="EB44" s="300"/>
      <c r="EC44" s="300"/>
      <c r="ED44" s="300" t="s">
        <v>181</v>
      </c>
      <c r="EE44" s="300" t="s">
        <v>787</v>
      </c>
      <c r="EF44" s="300" t="s">
        <v>86</v>
      </c>
      <c r="EG44" s="300" t="s">
        <v>119</v>
      </c>
      <c r="EH44" s="300"/>
    </row>
    <row r="45" spans="1:138">
      <c r="B45" s="298">
        <f>SUM(F45:F49)</f>
        <v>0</v>
      </c>
      <c r="C45" s="299" t="s">
        <v>181</v>
      </c>
      <c r="D45" s="300"/>
      <c r="E45" s="300"/>
      <c r="F45" s="300"/>
      <c r="G45" s="300"/>
      <c r="H45" s="300"/>
      <c r="I45" s="300"/>
      <c r="J45" s="300"/>
      <c r="L45" s="298">
        <f>SUM(P45:P49)</f>
        <v>0</v>
      </c>
      <c r="M45" s="299" t="s">
        <v>181</v>
      </c>
      <c r="N45" s="300"/>
      <c r="O45" s="300"/>
      <c r="P45" s="300"/>
      <c r="Q45" s="300"/>
      <c r="R45" s="300"/>
      <c r="S45" s="300"/>
      <c r="T45" s="300"/>
      <c r="V45" s="298">
        <f>SUM(Z45:Z49)</f>
        <v>0</v>
      </c>
      <c r="W45" s="299" t="s">
        <v>181</v>
      </c>
      <c r="X45" s="300"/>
      <c r="Y45" s="300"/>
      <c r="Z45" s="300"/>
      <c r="AA45" s="300"/>
      <c r="AB45" s="300"/>
      <c r="AC45" s="300"/>
      <c r="AD45" s="300"/>
      <c r="AF45" s="298">
        <f>SUM(AJ45:AJ49)</f>
        <v>0</v>
      </c>
      <c r="AG45" s="299" t="s">
        <v>181</v>
      </c>
      <c r="AH45" s="300"/>
      <c r="AI45" s="300"/>
      <c r="AJ45" s="300"/>
      <c r="AK45" s="300"/>
      <c r="AL45" s="300"/>
      <c r="AM45" s="300"/>
      <c r="AN45" s="300"/>
      <c r="AP45" s="298">
        <f>SUM(AT45:AT49)</f>
        <v>0</v>
      </c>
      <c r="AQ45" s="299" t="s">
        <v>181</v>
      </c>
      <c r="AR45" s="300"/>
      <c r="AS45" s="300"/>
      <c r="AT45" s="300"/>
      <c r="AU45" s="300"/>
      <c r="AV45" s="300"/>
      <c r="AW45" s="300"/>
      <c r="AX45" s="300"/>
      <c r="AY45"/>
      <c r="BA45" s="298">
        <f>SUM(BE45:BE49)</f>
        <v>0</v>
      </c>
      <c r="BB45" s="299" t="s">
        <v>181</v>
      </c>
      <c r="BC45" s="300"/>
      <c r="BD45" s="300"/>
      <c r="BE45" s="300"/>
      <c r="BF45" s="300"/>
      <c r="BG45" s="300"/>
      <c r="BH45" s="300"/>
      <c r="BI45" s="300"/>
      <c r="BL45" s="298">
        <f>SUM(BP45:BP49)</f>
        <v>0</v>
      </c>
      <c r="BM45" s="299" t="s">
        <v>181</v>
      </c>
      <c r="BN45" s="300"/>
      <c r="BO45" s="300"/>
      <c r="BP45" s="300"/>
      <c r="BQ45" s="300"/>
      <c r="BR45" s="300"/>
      <c r="BS45" s="300"/>
      <c r="BT45" s="300"/>
      <c r="BW45" s="298">
        <f>SUM(CA45:CA49)</f>
        <v>0</v>
      </c>
      <c r="BX45" s="299" t="s">
        <v>181</v>
      </c>
      <c r="BY45" s="300"/>
      <c r="BZ45" s="300"/>
      <c r="CA45" s="300"/>
      <c r="CB45" s="300"/>
      <c r="CC45" s="300"/>
      <c r="CD45" s="300"/>
      <c r="CE45" s="300"/>
      <c r="CH45" s="298">
        <f>SUM(CL45:CL49)</f>
        <v>0</v>
      </c>
      <c r="CI45" s="299" t="s">
        <v>181</v>
      </c>
      <c r="CJ45" s="300"/>
      <c r="CK45" s="300"/>
      <c r="CL45" s="300"/>
      <c r="CM45" s="300"/>
      <c r="CN45" s="300"/>
      <c r="CO45" s="300"/>
      <c r="CP45" s="300"/>
      <c r="CS45" s="298">
        <f>SUM(CW45:CW49)</f>
        <v>0</v>
      </c>
      <c r="CT45" s="299" t="s">
        <v>181</v>
      </c>
      <c r="CU45" s="300"/>
      <c r="CV45" s="300"/>
      <c r="CW45" s="300"/>
      <c r="CX45" s="300"/>
      <c r="CY45" s="300"/>
      <c r="CZ45" s="300"/>
      <c r="DA45" s="300"/>
      <c r="DD45" s="298">
        <f>SUM(DH45:DH49)</f>
        <v>0</v>
      </c>
      <c r="DE45" s="299" t="s">
        <v>181</v>
      </c>
      <c r="DF45" s="300"/>
      <c r="DG45" s="300"/>
      <c r="DH45" s="300"/>
      <c r="DI45" s="300"/>
      <c r="DJ45" s="300"/>
      <c r="DK45" s="300"/>
      <c r="DL45" s="300"/>
      <c r="DO45" s="298">
        <f>SUM(DS45:DS49)</f>
        <v>0</v>
      </c>
      <c r="DP45" s="299" t="s">
        <v>181</v>
      </c>
      <c r="DQ45" s="300"/>
      <c r="DR45" s="300"/>
      <c r="DS45" s="300"/>
      <c r="DT45" s="300"/>
      <c r="DU45" s="300"/>
      <c r="DV45" s="300"/>
      <c r="DW45" s="300"/>
      <c r="DZ45" s="298">
        <f>SUM(ED45:ED49)</f>
        <v>0</v>
      </c>
      <c r="EA45" s="299" t="s">
        <v>181</v>
      </c>
      <c r="EB45" s="300"/>
      <c r="EC45" s="300"/>
      <c r="ED45" s="300"/>
      <c r="EE45" s="300"/>
      <c r="EF45" s="300"/>
      <c r="EG45" s="300"/>
      <c r="EH45" s="300"/>
    </row>
    <row r="46" spans="1:138">
      <c r="B46" s="298"/>
      <c r="C46" s="299"/>
      <c r="D46" s="300"/>
      <c r="E46" s="300"/>
      <c r="F46" s="300"/>
      <c r="G46" s="300"/>
      <c r="H46" s="300"/>
      <c r="I46" s="300"/>
      <c r="J46" s="300"/>
      <c r="L46" s="298"/>
      <c r="M46" s="299"/>
      <c r="N46" s="300"/>
      <c r="O46" s="300"/>
      <c r="P46" s="300"/>
      <c r="Q46" s="300"/>
      <c r="R46" s="300"/>
      <c r="S46" s="300"/>
      <c r="T46" s="300"/>
      <c r="V46" s="298"/>
      <c r="W46" s="299"/>
      <c r="X46" s="300"/>
      <c r="Y46" s="300"/>
      <c r="Z46" s="300"/>
      <c r="AA46" s="300"/>
      <c r="AB46" s="300"/>
      <c r="AC46" s="300"/>
      <c r="AD46" s="300"/>
      <c r="AF46" s="298"/>
      <c r="AG46" s="299"/>
      <c r="AH46" s="300"/>
      <c r="AI46" s="300"/>
      <c r="AJ46" s="300"/>
      <c r="AK46" s="300"/>
      <c r="AL46" s="300"/>
      <c r="AM46" s="300"/>
      <c r="AN46" s="300"/>
      <c r="AP46" s="298"/>
      <c r="AQ46" s="299"/>
      <c r="AR46" s="300"/>
      <c r="AS46" s="300"/>
      <c r="AT46" s="300"/>
      <c r="AU46" s="300"/>
      <c r="AV46" s="300"/>
      <c r="AW46" s="300"/>
      <c r="AX46" s="300"/>
      <c r="AY46"/>
      <c r="BA46" s="298"/>
      <c r="BB46" s="299"/>
      <c r="BC46" s="300"/>
      <c r="BD46" s="300"/>
      <c r="BE46" s="300"/>
      <c r="BF46" s="300"/>
      <c r="BG46" s="300"/>
      <c r="BH46" s="300"/>
      <c r="BI46" s="300"/>
      <c r="BL46" s="298"/>
      <c r="BM46" s="299"/>
      <c r="BN46" s="300"/>
      <c r="BO46" s="300"/>
      <c r="BP46" s="300"/>
      <c r="BQ46" s="300"/>
      <c r="BR46" s="300"/>
      <c r="BS46" s="300"/>
      <c r="BT46" s="300"/>
      <c r="BW46" s="298"/>
      <c r="BX46" s="299"/>
      <c r="BY46" s="300"/>
      <c r="BZ46" s="300"/>
      <c r="CA46" s="300"/>
      <c r="CB46" s="300"/>
      <c r="CC46" s="300"/>
      <c r="CD46" s="300"/>
      <c r="CE46" s="300"/>
      <c r="CH46" s="298"/>
      <c r="CI46" s="299"/>
      <c r="CJ46" s="300"/>
      <c r="CK46" s="300"/>
      <c r="CL46" s="300"/>
      <c r="CM46" s="300"/>
      <c r="CN46" s="300"/>
      <c r="CO46" s="300"/>
      <c r="CP46" s="300"/>
      <c r="CS46" s="298"/>
      <c r="CT46" s="299"/>
      <c r="CU46" s="300"/>
      <c r="CV46" s="300"/>
      <c r="CW46" s="300"/>
      <c r="CX46" s="300"/>
      <c r="CY46" s="300"/>
      <c r="CZ46" s="300"/>
      <c r="DA46" s="300"/>
      <c r="DD46" s="298"/>
      <c r="DE46" s="299"/>
      <c r="DF46" s="300"/>
      <c r="DG46" s="300"/>
      <c r="DH46" s="300"/>
      <c r="DI46" s="300"/>
      <c r="DJ46" s="300"/>
      <c r="DK46" s="300"/>
      <c r="DL46" s="300"/>
      <c r="DO46" s="298"/>
      <c r="DP46" s="299"/>
      <c r="DQ46" s="300"/>
      <c r="DR46" s="300"/>
      <c r="DS46" s="300"/>
      <c r="DT46" s="300"/>
      <c r="DU46" s="300"/>
      <c r="DV46" s="300"/>
      <c r="DW46" s="300"/>
      <c r="DZ46" s="298"/>
      <c r="EA46" s="299"/>
      <c r="EB46" s="300"/>
      <c r="EC46" s="300"/>
      <c r="ED46" s="300"/>
      <c r="EE46" s="300"/>
      <c r="EF46" s="300"/>
      <c r="EG46" s="300"/>
      <c r="EH46" s="300"/>
    </row>
    <row r="47" spans="1:138">
      <c r="B47" s="298"/>
      <c r="C47" s="299"/>
      <c r="D47" s="300"/>
      <c r="E47" s="300"/>
      <c r="F47" s="300"/>
      <c r="G47" s="300"/>
      <c r="H47" s="300"/>
      <c r="I47" s="300"/>
      <c r="J47" s="300"/>
      <c r="L47" s="298"/>
      <c r="M47" s="299"/>
      <c r="N47" s="300"/>
      <c r="O47" s="300"/>
      <c r="P47" s="300"/>
      <c r="Q47" s="300"/>
      <c r="R47" s="300"/>
      <c r="S47" s="300"/>
      <c r="T47" s="300"/>
      <c r="V47" s="298"/>
      <c r="W47" s="299"/>
      <c r="X47" s="300"/>
      <c r="Y47" s="300"/>
      <c r="Z47" s="300"/>
      <c r="AA47" s="300"/>
      <c r="AB47" s="300"/>
      <c r="AC47" s="300"/>
      <c r="AD47" s="300"/>
      <c r="AF47" s="298"/>
      <c r="AG47" s="299"/>
      <c r="AH47" s="300"/>
      <c r="AI47" s="300"/>
      <c r="AJ47" s="300"/>
      <c r="AK47" s="300"/>
      <c r="AL47" s="300"/>
      <c r="AM47" s="300"/>
      <c r="AN47" s="300"/>
      <c r="AP47" s="298"/>
      <c r="AQ47" s="299"/>
      <c r="AR47" s="300"/>
      <c r="AS47" s="300"/>
      <c r="AT47" s="300"/>
      <c r="AU47" s="300"/>
      <c r="AV47" s="300"/>
      <c r="AW47" s="300"/>
      <c r="AX47" s="300"/>
      <c r="AY47"/>
      <c r="BA47" s="298"/>
      <c r="BB47" s="299"/>
      <c r="BC47" s="300"/>
      <c r="BD47" s="300"/>
      <c r="BE47" s="300"/>
      <c r="BF47" s="300"/>
      <c r="BG47" s="300"/>
      <c r="BH47" s="300"/>
      <c r="BI47" s="300"/>
      <c r="BL47" s="298"/>
      <c r="BM47" s="299"/>
      <c r="BN47" s="300"/>
      <c r="BO47" s="300"/>
      <c r="BP47" s="300"/>
      <c r="BQ47" s="300"/>
      <c r="BR47" s="300"/>
      <c r="BS47" s="300"/>
      <c r="BT47" s="300"/>
      <c r="BW47" s="298"/>
      <c r="BX47" s="299"/>
      <c r="BY47" s="300"/>
      <c r="BZ47" s="300"/>
      <c r="CA47" s="300"/>
      <c r="CB47" s="300"/>
      <c r="CC47" s="300"/>
      <c r="CD47" s="300"/>
      <c r="CE47" s="300"/>
      <c r="CH47" s="298"/>
      <c r="CI47" s="299"/>
      <c r="CJ47" s="300"/>
      <c r="CK47" s="300"/>
      <c r="CL47" s="300"/>
      <c r="CM47" s="300"/>
      <c r="CN47" s="300"/>
      <c r="CO47" s="300"/>
      <c r="CP47" s="300"/>
      <c r="CS47" s="298"/>
      <c r="CT47" s="299"/>
      <c r="CU47" s="300"/>
      <c r="CV47" s="300"/>
      <c r="CW47" s="300"/>
      <c r="CX47" s="300"/>
      <c r="CY47" s="300"/>
      <c r="CZ47" s="300"/>
      <c r="DA47" s="300"/>
      <c r="DD47" s="298"/>
      <c r="DE47" s="299"/>
      <c r="DF47" s="300"/>
      <c r="DG47" s="300"/>
      <c r="DH47" s="300"/>
      <c r="DI47" s="300"/>
      <c r="DJ47" s="300"/>
      <c r="DK47" s="300"/>
      <c r="DL47" s="300"/>
      <c r="DO47" s="298"/>
      <c r="DP47" s="299"/>
      <c r="DQ47" s="300"/>
      <c r="DR47" s="300"/>
      <c r="DS47" s="300"/>
      <c r="DT47" s="300"/>
      <c r="DU47" s="300"/>
      <c r="DV47" s="300"/>
      <c r="DW47" s="300"/>
      <c r="DZ47" s="298"/>
      <c r="EA47" s="299"/>
      <c r="EB47" s="300"/>
      <c r="EC47" s="300"/>
      <c r="ED47" s="300"/>
      <c r="EE47" s="300"/>
      <c r="EF47" s="300"/>
      <c r="EG47" s="300"/>
      <c r="EH47" s="300"/>
    </row>
    <row r="48" spans="1:138">
      <c r="B48" s="298"/>
      <c r="C48" s="299"/>
      <c r="D48" s="300"/>
      <c r="E48" s="300"/>
      <c r="F48" s="300"/>
      <c r="G48" s="300"/>
      <c r="H48" s="300"/>
      <c r="I48" s="300"/>
      <c r="J48" s="300"/>
      <c r="L48" s="298"/>
      <c r="M48" s="299"/>
      <c r="N48" s="300"/>
      <c r="O48" s="300"/>
      <c r="P48" s="300"/>
      <c r="Q48" s="300"/>
      <c r="R48" s="300"/>
      <c r="S48" s="300"/>
      <c r="T48" s="300"/>
      <c r="V48" s="298"/>
      <c r="W48" s="299"/>
      <c r="X48" s="300"/>
      <c r="Y48" s="300"/>
      <c r="Z48" s="300"/>
      <c r="AA48" s="300"/>
      <c r="AB48" s="300"/>
      <c r="AC48" s="300"/>
      <c r="AD48" s="300"/>
      <c r="AF48" s="298"/>
      <c r="AG48" s="299"/>
      <c r="AH48" s="300"/>
      <c r="AI48" s="300"/>
      <c r="AJ48" s="300"/>
      <c r="AK48" s="300"/>
      <c r="AL48" s="300"/>
      <c r="AM48" s="300"/>
      <c r="AN48" s="300"/>
      <c r="AP48" s="298"/>
      <c r="AQ48" s="299"/>
      <c r="AR48" s="300"/>
      <c r="AS48" s="300"/>
      <c r="AT48" s="300"/>
      <c r="AU48" s="300"/>
      <c r="AV48" s="300"/>
      <c r="AW48" s="300"/>
      <c r="AX48" s="300"/>
      <c r="AY48"/>
      <c r="BA48" s="298"/>
      <c r="BB48" s="299"/>
      <c r="BC48" s="300"/>
      <c r="BD48" s="300"/>
      <c r="BE48" s="300"/>
      <c r="BF48" s="300"/>
      <c r="BG48" s="300"/>
      <c r="BH48" s="300"/>
      <c r="BI48" s="300"/>
      <c r="BL48" s="298"/>
      <c r="BM48" s="299"/>
      <c r="BN48" s="300"/>
      <c r="BO48" s="300"/>
      <c r="BP48" s="300"/>
      <c r="BQ48" s="300"/>
      <c r="BR48" s="300"/>
      <c r="BS48" s="300"/>
      <c r="BT48" s="300"/>
      <c r="BW48" s="298"/>
      <c r="BX48" s="299"/>
      <c r="BY48" s="300"/>
      <c r="BZ48" s="300"/>
      <c r="CA48" s="300"/>
      <c r="CB48" s="300"/>
      <c r="CC48" s="300"/>
      <c r="CD48" s="300"/>
      <c r="CE48" s="300"/>
      <c r="CH48" s="298"/>
      <c r="CI48" s="299"/>
      <c r="CJ48" s="300"/>
      <c r="CK48" s="300"/>
      <c r="CL48" s="300"/>
      <c r="CM48" s="300"/>
      <c r="CN48" s="300"/>
      <c r="CO48" s="300"/>
      <c r="CP48" s="300"/>
      <c r="CS48" s="298"/>
      <c r="CT48" s="299"/>
      <c r="CU48" s="300"/>
      <c r="CV48" s="300"/>
      <c r="CW48" s="300"/>
      <c r="CX48" s="300"/>
      <c r="CY48" s="300"/>
      <c r="CZ48" s="300"/>
      <c r="DA48" s="300"/>
      <c r="DD48" s="298"/>
      <c r="DE48" s="299"/>
      <c r="DF48" s="300"/>
      <c r="DG48" s="300"/>
      <c r="DH48" s="300"/>
      <c r="DI48" s="300"/>
      <c r="DJ48" s="300"/>
      <c r="DK48" s="300"/>
      <c r="DL48" s="300"/>
      <c r="DO48" s="298"/>
      <c r="DP48" s="299"/>
      <c r="DQ48" s="300"/>
      <c r="DR48" s="300"/>
      <c r="DS48" s="300"/>
      <c r="DT48" s="300"/>
      <c r="DU48" s="300"/>
      <c r="DV48" s="300"/>
      <c r="DW48" s="300"/>
      <c r="DZ48" s="298"/>
      <c r="EA48" s="299"/>
      <c r="EB48" s="300"/>
      <c r="EC48" s="300"/>
      <c r="ED48" s="300"/>
      <c r="EE48" s="300"/>
      <c r="EF48" s="300"/>
      <c r="EG48" s="300"/>
      <c r="EH48" s="300"/>
    </row>
    <row r="49" spans="1:138">
      <c r="B49" s="298"/>
      <c r="C49" s="299"/>
      <c r="D49" s="300"/>
      <c r="E49" s="300"/>
      <c r="F49" s="300"/>
      <c r="G49" s="300"/>
      <c r="H49" s="300"/>
      <c r="I49" s="300"/>
      <c r="J49" s="300"/>
      <c r="L49" s="298"/>
      <c r="M49" s="299"/>
      <c r="N49" s="300"/>
      <c r="O49" s="300"/>
      <c r="P49" s="300"/>
      <c r="Q49" s="300"/>
      <c r="R49" s="300"/>
      <c r="S49" s="300"/>
      <c r="T49" s="300"/>
      <c r="V49" s="298"/>
      <c r="W49" s="299"/>
      <c r="X49" s="300"/>
      <c r="Y49" s="300"/>
      <c r="Z49" s="300"/>
      <c r="AA49" s="300"/>
      <c r="AB49" s="300"/>
      <c r="AC49" s="300"/>
      <c r="AD49" s="300"/>
      <c r="AF49" s="298"/>
      <c r="AG49" s="299"/>
      <c r="AH49" s="300"/>
      <c r="AI49" s="300"/>
      <c r="AJ49" s="300"/>
      <c r="AK49" s="300"/>
      <c r="AL49" s="300"/>
      <c r="AM49" s="300"/>
      <c r="AN49" s="300"/>
      <c r="AP49" s="298"/>
      <c r="AQ49" s="299"/>
      <c r="AR49" s="300"/>
      <c r="AS49" s="300"/>
      <c r="AT49" s="300"/>
      <c r="AU49" s="300"/>
      <c r="AV49" s="300"/>
      <c r="AW49" s="300"/>
      <c r="AX49" s="300"/>
      <c r="AY49"/>
      <c r="BA49" s="298"/>
      <c r="BB49" s="299"/>
      <c r="BC49" s="300"/>
      <c r="BD49" s="300"/>
      <c r="BE49" s="300"/>
      <c r="BF49" s="300"/>
      <c r="BG49" s="300"/>
      <c r="BH49" s="300"/>
      <c r="BI49" s="300"/>
      <c r="BL49" s="298"/>
      <c r="BM49" s="299"/>
      <c r="BN49" s="300"/>
      <c r="BO49" s="300"/>
      <c r="BP49" s="300"/>
      <c r="BQ49" s="300"/>
      <c r="BR49" s="300"/>
      <c r="BS49" s="300"/>
      <c r="BT49" s="300"/>
      <c r="BW49" s="298"/>
      <c r="BX49" s="299"/>
      <c r="BY49" s="300"/>
      <c r="BZ49" s="300"/>
      <c r="CA49" s="300"/>
      <c r="CB49" s="300"/>
      <c r="CC49" s="300"/>
      <c r="CD49" s="300"/>
      <c r="CE49" s="300"/>
      <c r="CH49" s="298"/>
      <c r="CI49" s="299"/>
      <c r="CJ49" s="300"/>
      <c r="CK49" s="300"/>
      <c r="CL49" s="300"/>
      <c r="CM49" s="300"/>
      <c r="CN49" s="300"/>
      <c r="CO49" s="300"/>
      <c r="CP49" s="300"/>
      <c r="CS49" s="298"/>
      <c r="CT49" s="299"/>
      <c r="CU49" s="300"/>
      <c r="CV49" s="300"/>
      <c r="CW49" s="300"/>
      <c r="CX49" s="300"/>
      <c r="CY49" s="300"/>
      <c r="CZ49" s="300"/>
      <c r="DA49" s="300"/>
      <c r="DD49" s="298"/>
      <c r="DE49" s="299"/>
      <c r="DF49" s="300"/>
      <c r="DG49" s="300"/>
      <c r="DH49" s="300"/>
      <c r="DI49" s="300"/>
      <c r="DJ49" s="300"/>
      <c r="DK49" s="300"/>
      <c r="DL49" s="300"/>
      <c r="DO49" s="298"/>
      <c r="DP49" s="299"/>
      <c r="DQ49" s="300"/>
      <c r="DR49" s="300"/>
      <c r="DS49" s="300"/>
      <c r="DT49" s="300"/>
      <c r="DU49" s="300"/>
      <c r="DV49" s="300"/>
      <c r="DW49" s="300"/>
      <c r="DZ49" s="298"/>
      <c r="EA49" s="299"/>
      <c r="EB49" s="300"/>
      <c r="EC49" s="300"/>
      <c r="ED49" s="300"/>
      <c r="EE49" s="300"/>
      <c r="EF49" s="300"/>
      <c r="EG49" s="300"/>
      <c r="EH49" s="300"/>
    </row>
    <row r="50" spans="1:138">
      <c r="B50" s="294" t="s">
        <v>792</v>
      </c>
      <c r="C50" s="295"/>
      <c r="D50" s="296" t="s">
        <v>175</v>
      </c>
      <c r="E50" s="296" t="s">
        <v>176</v>
      </c>
      <c r="F50" s="296" t="s">
        <v>177</v>
      </c>
      <c r="G50" s="296" t="s">
        <v>178</v>
      </c>
      <c r="H50" s="296" t="s">
        <v>179</v>
      </c>
      <c r="I50" s="296" t="s">
        <v>180</v>
      </c>
      <c r="J50" s="296"/>
      <c r="L50" s="294" t="s">
        <v>792</v>
      </c>
      <c r="M50" s="295"/>
      <c r="N50" s="296" t="s">
        <v>175</v>
      </c>
      <c r="O50" s="296" t="s">
        <v>176</v>
      </c>
      <c r="P50" s="296" t="s">
        <v>177</v>
      </c>
      <c r="Q50" s="296" t="s">
        <v>178</v>
      </c>
      <c r="R50" s="296" t="s">
        <v>179</v>
      </c>
      <c r="S50" s="296" t="s">
        <v>180</v>
      </c>
      <c r="T50" s="296"/>
      <c r="V50" s="294" t="s">
        <v>792</v>
      </c>
      <c r="W50" s="295"/>
      <c r="X50" s="296" t="s">
        <v>175</v>
      </c>
      <c r="Y50" s="296" t="s">
        <v>176</v>
      </c>
      <c r="Z50" s="296" t="s">
        <v>177</v>
      </c>
      <c r="AA50" s="296" t="s">
        <v>178</v>
      </c>
      <c r="AB50" s="296" t="s">
        <v>179</v>
      </c>
      <c r="AC50" s="296" t="s">
        <v>180</v>
      </c>
      <c r="AD50" s="296"/>
      <c r="AF50" s="294" t="s">
        <v>792</v>
      </c>
      <c r="AG50" s="295"/>
      <c r="AH50" s="296" t="s">
        <v>175</v>
      </c>
      <c r="AI50" s="296" t="s">
        <v>176</v>
      </c>
      <c r="AJ50" s="296" t="s">
        <v>177</v>
      </c>
      <c r="AK50" s="296" t="s">
        <v>178</v>
      </c>
      <c r="AL50" s="296" t="s">
        <v>179</v>
      </c>
      <c r="AM50" s="296" t="s">
        <v>180</v>
      </c>
      <c r="AN50" s="296"/>
      <c r="AP50" s="294" t="s">
        <v>792</v>
      </c>
      <c r="AQ50" s="295"/>
      <c r="AR50" s="296" t="s">
        <v>175</v>
      </c>
      <c r="AS50" s="296" t="s">
        <v>176</v>
      </c>
      <c r="AT50" s="296" t="s">
        <v>177</v>
      </c>
      <c r="AU50" s="296" t="s">
        <v>178</v>
      </c>
      <c r="AV50" s="296" t="s">
        <v>179</v>
      </c>
      <c r="AW50" s="296" t="s">
        <v>180</v>
      </c>
      <c r="AX50" s="296"/>
      <c r="AY50"/>
      <c r="BA50" s="294" t="s">
        <v>792</v>
      </c>
      <c r="BB50" s="295"/>
      <c r="BC50" s="296" t="s">
        <v>175</v>
      </c>
      <c r="BD50" s="296" t="s">
        <v>176</v>
      </c>
      <c r="BE50" s="296" t="s">
        <v>177</v>
      </c>
      <c r="BF50" s="296" t="s">
        <v>178</v>
      </c>
      <c r="BG50" s="296" t="s">
        <v>179</v>
      </c>
      <c r="BH50" s="296" t="s">
        <v>180</v>
      </c>
      <c r="BI50" s="296"/>
      <c r="BL50" s="294" t="s">
        <v>792</v>
      </c>
      <c r="BM50" s="295"/>
      <c r="BN50" s="296" t="s">
        <v>175</v>
      </c>
      <c r="BO50" s="296" t="s">
        <v>176</v>
      </c>
      <c r="BP50" s="296" t="s">
        <v>177</v>
      </c>
      <c r="BQ50" s="296" t="s">
        <v>178</v>
      </c>
      <c r="BR50" s="296" t="s">
        <v>179</v>
      </c>
      <c r="BS50" s="296" t="s">
        <v>180</v>
      </c>
      <c r="BT50" s="296"/>
      <c r="BW50" s="294" t="s">
        <v>792</v>
      </c>
      <c r="BX50" s="295"/>
      <c r="BY50" s="296" t="s">
        <v>175</v>
      </c>
      <c r="BZ50" s="296" t="s">
        <v>176</v>
      </c>
      <c r="CA50" s="296" t="s">
        <v>177</v>
      </c>
      <c r="CB50" s="296" t="s">
        <v>178</v>
      </c>
      <c r="CC50" s="296" t="s">
        <v>179</v>
      </c>
      <c r="CD50" s="296" t="s">
        <v>180</v>
      </c>
      <c r="CE50" s="296"/>
      <c r="CH50" s="294" t="s">
        <v>792</v>
      </c>
      <c r="CI50" s="295"/>
      <c r="CJ50" s="296" t="s">
        <v>175</v>
      </c>
      <c r="CK50" s="296" t="s">
        <v>176</v>
      </c>
      <c r="CL50" s="296" t="s">
        <v>177</v>
      </c>
      <c r="CM50" s="296" t="s">
        <v>178</v>
      </c>
      <c r="CN50" s="296" t="s">
        <v>179</v>
      </c>
      <c r="CO50" s="296" t="s">
        <v>180</v>
      </c>
      <c r="CP50" s="296"/>
      <c r="CS50" s="294" t="s">
        <v>792</v>
      </c>
      <c r="CT50" s="295"/>
      <c r="CU50" s="296" t="s">
        <v>175</v>
      </c>
      <c r="CV50" s="296" t="s">
        <v>176</v>
      </c>
      <c r="CW50" s="296" t="s">
        <v>177</v>
      </c>
      <c r="CX50" s="296" t="s">
        <v>178</v>
      </c>
      <c r="CY50" s="296" t="s">
        <v>179</v>
      </c>
      <c r="CZ50" s="296" t="s">
        <v>180</v>
      </c>
      <c r="DA50" s="296"/>
      <c r="DD50" s="294" t="s">
        <v>792</v>
      </c>
      <c r="DE50" s="295"/>
      <c r="DF50" s="296" t="s">
        <v>175</v>
      </c>
      <c r="DG50" s="296" t="s">
        <v>176</v>
      </c>
      <c r="DH50" s="296" t="s">
        <v>177</v>
      </c>
      <c r="DI50" s="296" t="s">
        <v>178</v>
      </c>
      <c r="DJ50" s="296" t="s">
        <v>179</v>
      </c>
      <c r="DK50" s="296" t="s">
        <v>180</v>
      </c>
      <c r="DL50" s="296"/>
      <c r="DO50" s="294" t="s">
        <v>792</v>
      </c>
      <c r="DP50" s="295"/>
      <c r="DQ50" s="296" t="s">
        <v>175</v>
      </c>
      <c r="DR50" s="296" t="s">
        <v>176</v>
      </c>
      <c r="DS50" s="296" t="s">
        <v>177</v>
      </c>
      <c r="DT50" s="296" t="s">
        <v>178</v>
      </c>
      <c r="DU50" s="296" t="s">
        <v>179</v>
      </c>
      <c r="DV50" s="296" t="s">
        <v>180</v>
      </c>
      <c r="DW50" s="296"/>
      <c r="DZ50" s="294" t="s">
        <v>792</v>
      </c>
      <c r="EA50" s="295"/>
      <c r="EB50" s="296" t="s">
        <v>175</v>
      </c>
      <c r="EC50" s="296" t="s">
        <v>176</v>
      </c>
      <c r="ED50" s="296" t="s">
        <v>177</v>
      </c>
      <c r="EE50" s="296" t="s">
        <v>178</v>
      </c>
      <c r="EF50" s="296" t="s">
        <v>179</v>
      </c>
      <c r="EG50" s="296" t="s">
        <v>180</v>
      </c>
      <c r="EH50" s="296"/>
    </row>
    <row r="51" spans="1:138">
      <c r="A51" s="302"/>
      <c r="B51" s="294">
        <f>SUM(G52:G56)</f>
        <v>0</v>
      </c>
      <c r="C51" s="295" t="s">
        <v>783</v>
      </c>
      <c r="D51" s="296"/>
      <c r="E51" s="296"/>
      <c r="F51" s="296" t="s">
        <v>181</v>
      </c>
      <c r="G51" s="296" t="s">
        <v>787</v>
      </c>
      <c r="H51" s="296" t="s">
        <v>86</v>
      </c>
      <c r="I51" s="296" t="s">
        <v>119</v>
      </c>
      <c r="J51" s="296"/>
      <c r="L51" s="294">
        <f>SUM(Q52:Q56)</f>
        <v>0</v>
      </c>
      <c r="M51" s="295" t="s">
        <v>783</v>
      </c>
      <c r="N51" s="296"/>
      <c r="O51" s="296"/>
      <c r="P51" s="296" t="s">
        <v>181</v>
      </c>
      <c r="Q51" s="296" t="s">
        <v>787</v>
      </c>
      <c r="R51" s="296" t="s">
        <v>86</v>
      </c>
      <c r="S51" s="296" t="s">
        <v>119</v>
      </c>
      <c r="T51" s="296"/>
      <c r="V51" s="294">
        <f>SUM(AA52:AA56)</f>
        <v>0</v>
      </c>
      <c r="W51" s="295" t="s">
        <v>783</v>
      </c>
      <c r="X51" s="296"/>
      <c r="Y51" s="296"/>
      <c r="Z51" s="296" t="s">
        <v>181</v>
      </c>
      <c r="AA51" s="296" t="s">
        <v>787</v>
      </c>
      <c r="AB51" s="296" t="s">
        <v>86</v>
      </c>
      <c r="AC51" s="296" t="s">
        <v>119</v>
      </c>
      <c r="AD51" s="296"/>
      <c r="AF51" s="294">
        <f>SUM(AK52:AK56)</f>
        <v>0</v>
      </c>
      <c r="AG51" s="295" t="s">
        <v>783</v>
      </c>
      <c r="AH51" s="296"/>
      <c r="AI51" s="296"/>
      <c r="AJ51" s="296" t="s">
        <v>181</v>
      </c>
      <c r="AK51" s="296" t="s">
        <v>787</v>
      </c>
      <c r="AL51" s="296" t="s">
        <v>86</v>
      </c>
      <c r="AM51" s="296" t="s">
        <v>119</v>
      </c>
      <c r="AN51" s="296"/>
      <c r="AP51" s="294">
        <f>SUM(AU52:AU56)</f>
        <v>787.0912281293181</v>
      </c>
      <c r="AQ51" s="295" t="s">
        <v>783</v>
      </c>
      <c r="AR51" s="296"/>
      <c r="AS51" s="296"/>
      <c r="AT51" s="296" t="s">
        <v>181</v>
      </c>
      <c r="AU51" s="296" t="s">
        <v>787</v>
      </c>
      <c r="AV51" s="296" t="s">
        <v>86</v>
      </c>
      <c r="AW51" s="296" t="s">
        <v>119</v>
      </c>
      <c r="AX51" s="296"/>
      <c r="AY51"/>
      <c r="BA51" s="294">
        <f>SUM(BF52:BF56)</f>
        <v>649.23815652584028</v>
      </c>
      <c r="BB51" s="295" t="s">
        <v>783</v>
      </c>
      <c r="BC51" s="296"/>
      <c r="BD51" s="296"/>
      <c r="BE51" s="296" t="s">
        <v>181</v>
      </c>
      <c r="BF51" s="296" t="s">
        <v>787</v>
      </c>
      <c r="BG51" s="296" t="s">
        <v>86</v>
      </c>
      <c r="BH51" s="296" t="s">
        <v>119</v>
      </c>
      <c r="BI51" s="296"/>
      <c r="BL51" s="294">
        <f>SUM(BQ52:BQ56)</f>
        <v>529.53666076209356</v>
      </c>
      <c r="BM51" s="295" t="s">
        <v>783</v>
      </c>
      <c r="BN51" s="296"/>
      <c r="BO51" s="296"/>
      <c r="BP51" s="296" t="s">
        <v>181</v>
      </c>
      <c r="BQ51" s="296" t="s">
        <v>787</v>
      </c>
      <c r="BR51" s="296" t="s">
        <v>86</v>
      </c>
      <c r="BS51" s="296" t="s">
        <v>119</v>
      </c>
      <c r="BT51" s="296"/>
      <c r="BW51" s="294">
        <f>SUM(CB52:CB56)</f>
        <v>446.3177031729295</v>
      </c>
      <c r="BX51" s="295" t="s">
        <v>783</v>
      </c>
      <c r="BY51" s="296"/>
      <c r="BZ51" s="296"/>
      <c r="CA51" s="296" t="s">
        <v>181</v>
      </c>
      <c r="CB51" s="296" t="s">
        <v>787</v>
      </c>
      <c r="CC51" s="296" t="s">
        <v>86</v>
      </c>
      <c r="CD51" s="296" t="s">
        <v>119</v>
      </c>
      <c r="CE51" s="296"/>
      <c r="CH51" s="294">
        <f>SUM(CM52:CM56)</f>
        <v>0</v>
      </c>
      <c r="CI51" s="295" t="s">
        <v>783</v>
      </c>
      <c r="CJ51" s="296"/>
      <c r="CK51" s="296"/>
      <c r="CL51" s="296" t="s">
        <v>181</v>
      </c>
      <c r="CM51" s="296" t="s">
        <v>787</v>
      </c>
      <c r="CN51" s="296" t="s">
        <v>86</v>
      </c>
      <c r="CO51" s="296" t="s">
        <v>119</v>
      </c>
      <c r="CP51" s="296"/>
      <c r="CS51" s="294">
        <f>SUM(CX52:CX56)</f>
        <v>0</v>
      </c>
      <c r="CT51" s="295" t="s">
        <v>783</v>
      </c>
      <c r="CU51" s="296"/>
      <c r="CV51" s="296"/>
      <c r="CW51" s="296" t="s">
        <v>181</v>
      </c>
      <c r="CX51" s="296" t="s">
        <v>787</v>
      </c>
      <c r="CY51" s="296" t="s">
        <v>86</v>
      </c>
      <c r="CZ51" s="296" t="s">
        <v>119</v>
      </c>
      <c r="DA51" s="296"/>
      <c r="DD51" s="294">
        <f>SUM(DI52:DI56)</f>
        <v>0</v>
      </c>
      <c r="DE51" s="295" t="s">
        <v>783</v>
      </c>
      <c r="DF51" s="296"/>
      <c r="DG51" s="296"/>
      <c r="DH51" s="296" t="s">
        <v>181</v>
      </c>
      <c r="DI51" s="296" t="s">
        <v>787</v>
      </c>
      <c r="DJ51" s="296" t="s">
        <v>86</v>
      </c>
      <c r="DK51" s="296" t="s">
        <v>119</v>
      </c>
      <c r="DL51" s="296"/>
      <c r="DO51" s="294">
        <f>SUM(DT52:DT56)</f>
        <v>0</v>
      </c>
      <c r="DP51" s="295" t="s">
        <v>783</v>
      </c>
      <c r="DQ51" s="296"/>
      <c r="DR51" s="296"/>
      <c r="DS51" s="296" t="s">
        <v>181</v>
      </c>
      <c r="DT51" s="296" t="s">
        <v>787</v>
      </c>
      <c r="DU51" s="296" t="s">
        <v>86</v>
      </c>
      <c r="DV51" s="296" t="s">
        <v>119</v>
      </c>
      <c r="DW51" s="296"/>
      <c r="DZ51" s="294">
        <f>SUM(EE52:EE56)</f>
        <v>22.298386424797183</v>
      </c>
      <c r="EA51" s="295" t="s">
        <v>783</v>
      </c>
      <c r="EB51" s="296"/>
      <c r="EC51" s="296"/>
      <c r="ED51" s="296" t="s">
        <v>181</v>
      </c>
      <c r="EE51" s="296" t="s">
        <v>787</v>
      </c>
      <c r="EF51" s="296" t="s">
        <v>86</v>
      </c>
      <c r="EG51" s="296" t="s">
        <v>119</v>
      </c>
      <c r="EH51" s="296"/>
    </row>
    <row r="52" spans="1:138">
      <c r="B52" s="294">
        <f>SUM(F52:F56)</f>
        <v>0</v>
      </c>
      <c r="C52" s="295" t="s">
        <v>181</v>
      </c>
      <c r="D52" s="764"/>
      <c r="E52" s="764"/>
      <c r="F52" s="764"/>
      <c r="G52" s="764"/>
      <c r="H52" s="764"/>
      <c r="I52" s="764"/>
      <c r="J52" s="296"/>
      <c r="L52" s="294">
        <f>SUM(P52:P56)</f>
        <v>0</v>
      </c>
      <c r="M52" s="295" t="s">
        <v>181</v>
      </c>
      <c r="N52" s="764"/>
      <c r="O52" s="764"/>
      <c r="P52" s="764"/>
      <c r="Q52" s="764"/>
      <c r="R52" s="764"/>
      <c r="S52" s="764"/>
      <c r="T52" s="296"/>
      <c r="V52" s="294">
        <f>SUM(Z52:Z56)</f>
        <v>0</v>
      </c>
      <c r="W52" s="295" t="s">
        <v>181</v>
      </c>
      <c r="X52" s="764"/>
      <c r="Y52" s="764"/>
      <c r="Z52" s="764"/>
      <c r="AA52" s="764"/>
      <c r="AB52" s="764"/>
      <c r="AC52" s="764"/>
      <c r="AD52" s="296"/>
      <c r="AF52" s="294">
        <f>SUM(AJ52:AJ56)</f>
        <v>0</v>
      </c>
      <c r="AG52" s="295" t="s">
        <v>181</v>
      </c>
      <c r="AH52" s="764"/>
      <c r="AI52" s="764"/>
      <c r="AJ52" s="764"/>
      <c r="AK52" s="764"/>
      <c r="AL52" s="764"/>
      <c r="AM52" s="764"/>
      <c r="AN52" s="296"/>
      <c r="AP52" s="294">
        <f>SUM(AT52:AT56)</f>
        <v>479225.41685283015</v>
      </c>
      <c r="AQ52" s="295" t="s">
        <v>181</v>
      </c>
      <c r="AR52" s="764" t="s">
        <v>1076</v>
      </c>
      <c r="AS52" s="764" t="s">
        <v>172</v>
      </c>
      <c r="AT52" s="764">
        <v>479225.41685283015</v>
      </c>
      <c r="AU52" s="764">
        <v>787.0912281293181</v>
      </c>
      <c r="AV52" s="764">
        <v>4604.26</v>
      </c>
      <c r="AW52" s="764">
        <v>159339</v>
      </c>
      <c r="AX52" s="296"/>
      <c r="AY52"/>
      <c r="BA52" s="294">
        <f>SUM(BE52:BE56)</f>
        <v>395292.71204981627</v>
      </c>
      <c r="BB52" s="295" t="s">
        <v>181</v>
      </c>
      <c r="BC52" s="764" t="s">
        <v>1076</v>
      </c>
      <c r="BD52" s="764" t="s">
        <v>172</v>
      </c>
      <c r="BE52" s="764">
        <v>395292.71204981627</v>
      </c>
      <c r="BF52" s="764">
        <v>649.23815652584028</v>
      </c>
      <c r="BG52" s="764">
        <v>4041.12</v>
      </c>
      <c r="BH52" s="764">
        <v>139850</v>
      </c>
      <c r="BI52" s="296"/>
      <c r="BL52" s="294">
        <f>SUM(BP52:BP56)</f>
        <v>322411.70771995484</v>
      </c>
      <c r="BM52" s="295" t="s">
        <v>181</v>
      </c>
      <c r="BN52" s="839"/>
      <c r="BO52" s="764"/>
      <c r="BP52" s="764">
        <v>322411.70771995484</v>
      </c>
      <c r="BQ52" s="764">
        <v>529.53666076209356</v>
      </c>
      <c r="BR52" s="764"/>
      <c r="BS52" s="764"/>
      <c r="BT52" s="296"/>
      <c r="BW52" s="294">
        <f>SUM(CA52:CA56)</f>
        <v>271743.32492586679</v>
      </c>
      <c r="BX52" s="295" t="s">
        <v>181</v>
      </c>
      <c r="BY52" s="839" t="s">
        <v>1237</v>
      </c>
      <c r="BZ52" s="764" t="s">
        <v>172</v>
      </c>
      <c r="CA52" s="764">
        <v>271743.32492586679</v>
      </c>
      <c r="CB52" s="764">
        <v>446.3177031729295</v>
      </c>
      <c r="CC52" s="764"/>
      <c r="CD52" s="764"/>
      <c r="CE52" s="296"/>
      <c r="CH52" s="294">
        <f>SUM(CL52:CL56)</f>
        <v>0</v>
      </c>
      <c r="CI52" s="295" t="s">
        <v>181</v>
      </c>
      <c r="CJ52" s="764"/>
      <c r="CK52" s="764"/>
      <c r="CL52" s="764"/>
      <c r="CM52" s="764"/>
      <c r="CN52" s="764"/>
      <c r="CO52" s="764"/>
      <c r="CP52" s="296"/>
      <c r="CS52" s="294">
        <f>SUM(CW52:CW56)</f>
        <v>0</v>
      </c>
      <c r="CT52" s="295" t="s">
        <v>181</v>
      </c>
      <c r="CU52" s="764"/>
      <c r="CV52" s="764"/>
      <c r="CW52" s="764"/>
      <c r="CX52" s="764"/>
      <c r="CY52" s="764"/>
      <c r="CZ52" s="764"/>
      <c r="DA52" s="296"/>
      <c r="DD52" s="294">
        <f>SUM(DH52:DH56)</f>
        <v>0</v>
      </c>
      <c r="DE52" s="295" t="s">
        <v>181</v>
      </c>
      <c r="DF52" s="764"/>
      <c r="DG52" s="764"/>
      <c r="DH52" s="764"/>
      <c r="DI52" s="764"/>
      <c r="DJ52" s="764"/>
      <c r="DK52" s="764"/>
      <c r="DL52" s="296"/>
      <c r="DO52" s="294">
        <f>SUM(DS52:DS56)</f>
        <v>0</v>
      </c>
      <c r="DP52" s="295" t="s">
        <v>181</v>
      </c>
      <c r="DQ52" s="764"/>
      <c r="DR52" s="764"/>
      <c r="DS52" s="764"/>
      <c r="DT52" s="764"/>
      <c r="DU52" s="764"/>
      <c r="DV52" s="764"/>
      <c r="DW52" s="296"/>
      <c r="DZ52" s="294">
        <f>SUM(ED52:ED56)</f>
        <v>13576.512032749055</v>
      </c>
      <c r="EA52" s="295" t="s">
        <v>181</v>
      </c>
      <c r="EB52" s="764" t="s">
        <v>1076</v>
      </c>
      <c r="EC52" s="764" t="s">
        <v>172</v>
      </c>
      <c r="ED52" s="764">
        <v>13576.512032749055</v>
      </c>
      <c r="EE52" s="764">
        <v>22.298386424797183</v>
      </c>
      <c r="EF52" s="764">
        <v>144.58699999999999</v>
      </c>
      <c r="EG52" s="764">
        <v>5003.68</v>
      </c>
      <c r="EH52" s="296"/>
    </row>
    <row r="53" spans="1:138">
      <c r="A53" s="302"/>
      <c r="B53" s="294"/>
      <c r="C53" s="295"/>
      <c r="D53" s="829"/>
      <c r="E53" s="829"/>
      <c r="F53" s="829"/>
      <c r="G53" s="829"/>
      <c r="H53" s="829"/>
      <c r="I53" s="829"/>
      <c r="J53" s="296"/>
      <c r="L53" s="294"/>
      <c r="M53" s="295"/>
      <c r="N53" s="829"/>
      <c r="O53" s="829"/>
      <c r="P53" s="829"/>
      <c r="Q53" s="829"/>
      <c r="R53" s="829"/>
      <c r="S53" s="829"/>
      <c r="T53" s="296"/>
      <c r="V53" s="294"/>
      <c r="W53" s="295"/>
      <c r="X53" s="829"/>
      <c r="Y53" s="829"/>
      <c r="Z53" s="829"/>
      <c r="AA53" s="829"/>
      <c r="AB53" s="829"/>
      <c r="AC53" s="829"/>
      <c r="AD53" s="296"/>
      <c r="AF53" s="294"/>
      <c r="AG53" s="295"/>
      <c r="AH53" s="829"/>
      <c r="AI53" s="829"/>
      <c r="AJ53" s="829"/>
      <c r="AK53" s="829"/>
      <c r="AL53" s="829"/>
      <c r="AM53" s="829"/>
      <c r="AN53" s="296"/>
      <c r="AP53" s="294"/>
      <c r="AQ53" s="295"/>
      <c r="AR53" s="830"/>
      <c r="AS53" s="830"/>
      <c r="AT53" s="830"/>
      <c r="AU53" s="830"/>
      <c r="AV53" s="830"/>
      <c r="AW53" s="830"/>
      <c r="AX53" s="296"/>
      <c r="AY53"/>
      <c r="BA53" s="294"/>
      <c r="BB53" s="295"/>
      <c r="BC53" s="829"/>
      <c r="BD53" s="829"/>
      <c r="BE53" s="829"/>
      <c r="BF53" s="829"/>
      <c r="BG53" s="829"/>
      <c r="BH53" s="829"/>
      <c r="BI53" s="296"/>
      <c r="BL53" s="294"/>
      <c r="BM53" s="295"/>
      <c r="BN53" s="829"/>
      <c r="BO53" s="829"/>
      <c r="BP53" s="829"/>
      <c r="BQ53" s="829"/>
      <c r="BR53" s="829"/>
      <c r="BS53" s="829"/>
      <c r="BT53" s="296"/>
      <c r="BW53" s="294"/>
      <c r="BX53" s="829"/>
      <c r="BY53" s="829"/>
      <c r="BZ53" s="829"/>
      <c r="CA53" s="829"/>
      <c r="CB53" s="829"/>
      <c r="CC53" s="829"/>
      <c r="CD53" s="829"/>
      <c r="CE53" s="296"/>
      <c r="CH53" s="294"/>
      <c r="CI53" s="295"/>
      <c r="CJ53" s="827"/>
      <c r="CK53" s="827"/>
      <c r="CL53" s="827"/>
      <c r="CM53" s="827"/>
      <c r="CN53" s="827"/>
      <c r="CO53" s="827"/>
      <c r="CP53" s="296"/>
      <c r="CS53" s="294"/>
      <c r="CT53" s="295"/>
      <c r="CU53" s="827"/>
      <c r="CV53" s="827"/>
      <c r="CW53" s="827"/>
      <c r="CX53" s="827"/>
      <c r="CY53" s="827"/>
      <c r="CZ53" s="827"/>
      <c r="DA53" s="296"/>
      <c r="DD53" s="294"/>
      <c r="DE53" s="295"/>
      <c r="DF53" s="827"/>
      <c r="DG53" s="827"/>
      <c r="DH53" s="827"/>
      <c r="DI53" s="827"/>
      <c r="DJ53" s="827"/>
      <c r="DK53" s="827"/>
      <c r="DL53" s="296"/>
      <c r="DO53" s="294"/>
      <c r="DP53" s="295"/>
      <c r="DQ53" s="827"/>
      <c r="DR53" s="827"/>
      <c r="DS53" s="827"/>
      <c r="DT53" s="827"/>
      <c r="DU53" s="827"/>
      <c r="DV53" s="827"/>
      <c r="DW53" s="296"/>
      <c r="DZ53" s="294"/>
      <c r="EA53" s="295"/>
      <c r="EB53" s="296"/>
      <c r="EC53" s="296"/>
      <c r="ED53" s="296"/>
      <c r="EE53" s="296"/>
      <c r="EF53" s="296"/>
      <c r="EG53" s="296"/>
      <c r="EH53" s="296"/>
    </row>
    <row r="54" spans="1:138">
      <c r="B54" s="294"/>
      <c r="C54" s="295"/>
      <c r="D54" s="296"/>
      <c r="E54" s="296"/>
      <c r="F54" s="296"/>
      <c r="G54" s="296"/>
      <c r="H54" s="296"/>
      <c r="I54" s="296"/>
      <c r="J54" s="296"/>
      <c r="L54" s="294"/>
      <c r="M54" s="295"/>
      <c r="N54" s="296"/>
      <c r="O54" s="296"/>
      <c r="P54" s="296"/>
      <c r="Q54" s="296"/>
      <c r="R54" s="296"/>
      <c r="S54" s="296"/>
      <c r="T54" s="296"/>
      <c r="V54" s="294"/>
      <c r="W54" s="295"/>
      <c r="X54" s="296"/>
      <c r="Y54" s="296"/>
      <c r="Z54" s="296"/>
      <c r="AA54" s="296"/>
      <c r="AB54" s="296"/>
      <c r="AC54" s="296"/>
      <c r="AD54" s="296"/>
      <c r="AF54" s="294"/>
      <c r="AG54" s="295"/>
      <c r="AH54" s="296"/>
      <c r="AI54" s="296"/>
      <c r="AJ54" s="296"/>
      <c r="AK54" s="296"/>
      <c r="AL54" s="296"/>
      <c r="AM54" s="296"/>
      <c r="AN54" s="296"/>
      <c r="AP54" s="294"/>
      <c r="AQ54" s="295"/>
      <c r="AR54" s="296"/>
      <c r="AS54" s="296"/>
      <c r="AT54" s="296"/>
      <c r="AU54" s="296"/>
      <c r="AV54" s="296"/>
      <c r="AW54" s="296"/>
      <c r="AX54" s="296"/>
      <c r="AY54"/>
      <c r="BA54" s="294"/>
      <c r="BB54" s="295"/>
      <c r="BC54" s="296"/>
      <c r="BD54" s="296"/>
      <c r="BE54" s="296"/>
      <c r="BF54" s="296"/>
      <c r="BG54" s="296"/>
      <c r="BH54" s="296"/>
      <c r="BI54" s="296"/>
      <c r="BL54" s="294"/>
      <c r="BM54" s="295"/>
      <c r="BN54" s="296"/>
      <c r="BO54" s="296"/>
      <c r="BP54" s="296"/>
      <c r="BQ54" s="296"/>
      <c r="BR54" s="296"/>
      <c r="BS54" s="296"/>
      <c r="BT54" s="296"/>
      <c r="BW54" s="294"/>
      <c r="BX54" s="295"/>
      <c r="BY54" s="296"/>
      <c r="BZ54" s="296"/>
      <c r="CA54" s="296"/>
      <c r="CB54" s="296"/>
      <c r="CC54" s="296"/>
      <c r="CD54" s="296"/>
      <c r="CE54" s="296"/>
      <c r="CH54" s="294"/>
      <c r="CI54" s="295"/>
      <c r="CJ54" s="296"/>
      <c r="CK54" s="296"/>
      <c r="CL54" s="296"/>
      <c r="CM54" s="296"/>
      <c r="CN54" s="296"/>
      <c r="CO54" s="296"/>
      <c r="CP54" s="296"/>
      <c r="CS54" s="294"/>
      <c r="CT54" s="295"/>
      <c r="CU54" s="296"/>
      <c r="CV54" s="296"/>
      <c r="CW54" s="296"/>
      <c r="CX54" s="296"/>
      <c r="CY54" s="296"/>
      <c r="CZ54" s="296"/>
      <c r="DA54" s="296"/>
      <c r="DD54" s="294"/>
      <c r="DE54" s="295"/>
      <c r="DF54" s="296"/>
      <c r="DG54" s="296"/>
      <c r="DH54" s="296"/>
      <c r="DI54" s="296"/>
      <c r="DJ54" s="296"/>
      <c r="DK54" s="296"/>
      <c r="DL54" s="296"/>
      <c r="DO54" s="294"/>
      <c r="DP54" s="295"/>
      <c r="DQ54" s="296"/>
      <c r="DR54" s="296"/>
      <c r="DS54" s="296"/>
      <c r="DT54" s="296"/>
      <c r="DU54" s="296"/>
      <c r="DV54" s="296"/>
      <c r="DW54" s="296"/>
      <c r="DZ54" s="294"/>
      <c r="EA54" s="295"/>
      <c r="EB54" s="296"/>
      <c r="EC54" s="296"/>
      <c r="ED54" s="296"/>
      <c r="EE54" s="296"/>
      <c r="EF54" s="296"/>
      <c r="EG54" s="296"/>
      <c r="EH54" s="296"/>
    </row>
    <row r="55" spans="1:138">
      <c r="A55" s="302"/>
      <c r="B55" s="294"/>
      <c r="C55" s="295"/>
      <c r="D55" s="296"/>
      <c r="E55" s="296"/>
      <c r="F55" s="296"/>
      <c r="G55" s="296"/>
      <c r="H55" s="296"/>
      <c r="I55" s="296"/>
      <c r="J55" s="296"/>
      <c r="L55" s="294"/>
      <c r="M55" s="295"/>
      <c r="N55" s="296"/>
      <c r="O55" s="296"/>
      <c r="P55" s="296"/>
      <c r="Q55" s="296"/>
      <c r="R55" s="296"/>
      <c r="S55" s="296"/>
      <c r="T55" s="296"/>
      <c r="V55" s="294"/>
      <c r="W55" s="295"/>
      <c r="X55" s="296"/>
      <c r="Y55" s="296"/>
      <c r="Z55" s="296"/>
      <c r="AA55" s="296"/>
      <c r="AB55" s="296"/>
      <c r="AC55" s="296"/>
      <c r="AD55" s="296"/>
      <c r="AF55" s="294"/>
      <c r="AG55" s="295"/>
      <c r="AH55" s="296"/>
      <c r="AI55" s="296"/>
      <c r="AJ55" s="296"/>
      <c r="AK55" s="296"/>
      <c r="AL55" s="296"/>
      <c r="AM55" s="296"/>
      <c r="AN55" s="296"/>
      <c r="AP55" s="294"/>
      <c r="AQ55" s="295"/>
      <c r="AR55" s="296"/>
      <c r="AS55" s="296"/>
      <c r="AT55" s="296"/>
      <c r="AU55" s="296"/>
      <c r="AV55" s="296"/>
      <c r="AW55" s="296"/>
      <c r="AX55" s="296"/>
      <c r="AY55"/>
      <c r="BA55" s="294"/>
      <c r="BB55" s="295"/>
      <c r="BC55" s="296"/>
      <c r="BD55" s="296"/>
      <c r="BE55" s="296"/>
      <c r="BF55" s="296"/>
      <c r="BG55" s="296"/>
      <c r="BH55" s="296"/>
      <c r="BI55" s="296"/>
      <c r="BL55" s="294"/>
      <c r="BM55" s="295"/>
      <c r="BN55" s="296"/>
      <c r="BO55" s="296"/>
      <c r="BP55" s="296"/>
      <c r="BQ55" s="296"/>
      <c r="BR55" s="296"/>
      <c r="BS55" s="296"/>
      <c r="BT55" s="296"/>
      <c r="BW55" s="294"/>
      <c r="BX55" s="295"/>
      <c r="BY55" s="296"/>
      <c r="BZ55" s="296"/>
      <c r="CA55" s="296"/>
      <c r="CB55" s="296"/>
      <c r="CC55" s="296"/>
      <c r="CD55" s="296"/>
      <c r="CE55" s="296"/>
      <c r="CH55" s="294"/>
      <c r="CI55" s="295"/>
      <c r="CJ55" s="296"/>
      <c r="CK55" s="296"/>
      <c r="CL55" s="296"/>
      <c r="CM55" s="296"/>
      <c r="CN55" s="296"/>
      <c r="CO55" s="296"/>
      <c r="CP55" s="296"/>
      <c r="CS55" s="294"/>
      <c r="CT55" s="295"/>
      <c r="CU55" s="296"/>
      <c r="CV55" s="296"/>
      <c r="CW55" s="296"/>
      <c r="CX55" s="296"/>
      <c r="CY55" s="296"/>
      <c r="CZ55" s="296"/>
      <c r="DA55" s="296"/>
      <c r="DD55" s="294"/>
      <c r="DE55" s="295"/>
      <c r="DF55" s="296"/>
      <c r="DG55" s="296"/>
      <c r="DH55" s="296"/>
      <c r="DI55" s="296"/>
      <c r="DJ55" s="296"/>
      <c r="DK55" s="296"/>
      <c r="DL55" s="296"/>
      <c r="DO55" s="294"/>
      <c r="DP55" s="295"/>
      <c r="DQ55" s="296"/>
      <c r="DR55" s="296"/>
      <c r="DS55" s="296"/>
      <c r="DT55" s="296"/>
      <c r="DU55" s="296"/>
      <c r="DV55" s="296"/>
      <c r="DW55" s="296"/>
      <c r="DZ55" s="294"/>
      <c r="EA55" s="295"/>
      <c r="EB55" s="296"/>
      <c r="EC55" s="296"/>
      <c r="ED55" s="296"/>
      <c r="EE55" s="296"/>
      <c r="EF55" s="296"/>
      <c r="EG55" s="296"/>
      <c r="EH55" s="296"/>
    </row>
    <row r="56" spans="1:138">
      <c r="B56" s="294"/>
      <c r="C56" s="295"/>
      <c r="D56" s="296"/>
      <c r="E56" s="296"/>
      <c r="F56" s="296"/>
      <c r="G56" s="296"/>
      <c r="H56" s="296"/>
      <c r="I56" s="296"/>
      <c r="J56" s="296"/>
      <c r="L56" s="294"/>
      <c r="M56" s="295"/>
      <c r="N56" s="296"/>
      <c r="O56" s="296"/>
      <c r="P56" s="296"/>
      <c r="Q56" s="296"/>
      <c r="R56" s="296"/>
      <c r="S56" s="296"/>
      <c r="T56" s="296"/>
      <c r="V56" s="294"/>
      <c r="W56" s="295"/>
      <c r="X56" s="296"/>
      <c r="Y56" s="296"/>
      <c r="Z56" s="296"/>
      <c r="AA56" s="296"/>
      <c r="AB56" s="296"/>
      <c r="AC56" s="296"/>
      <c r="AD56" s="296"/>
      <c r="AF56" s="294"/>
      <c r="AG56" s="295"/>
      <c r="AH56" s="296"/>
      <c r="AI56" s="296"/>
      <c r="AJ56" s="296"/>
      <c r="AK56" s="296"/>
      <c r="AL56" s="296"/>
      <c r="AM56" s="296"/>
      <c r="AN56" s="296"/>
      <c r="AP56" s="294"/>
      <c r="AQ56" s="295"/>
      <c r="AR56" s="296"/>
      <c r="AS56" s="296"/>
      <c r="AT56" s="296"/>
      <c r="AU56" s="296"/>
      <c r="AV56" s="296"/>
      <c r="AW56" s="296"/>
      <c r="AX56" s="296"/>
      <c r="AY56"/>
      <c r="BA56" s="294"/>
      <c r="BB56" s="295"/>
      <c r="BC56" s="296"/>
      <c r="BD56" s="296"/>
      <c r="BE56" s="296"/>
      <c r="BF56" s="296"/>
      <c r="BG56" s="296"/>
      <c r="BH56" s="296"/>
      <c r="BI56" s="296"/>
      <c r="BL56" s="294"/>
      <c r="BM56" s="295"/>
      <c r="BN56" s="296"/>
      <c r="BO56" s="296"/>
      <c r="BP56" s="296"/>
      <c r="BQ56" s="296"/>
      <c r="BR56" s="296"/>
      <c r="BS56" s="296"/>
      <c r="BT56" s="296"/>
      <c r="BW56" s="294"/>
      <c r="BX56" s="295"/>
      <c r="BY56" s="296"/>
      <c r="BZ56" s="296"/>
      <c r="CA56" s="296"/>
      <c r="CB56" s="296"/>
      <c r="CC56" s="296"/>
      <c r="CD56" s="296"/>
      <c r="CE56" s="296"/>
      <c r="CH56" s="294"/>
      <c r="CI56" s="295"/>
      <c r="CJ56" s="296"/>
      <c r="CK56" s="296"/>
      <c r="CL56" s="296"/>
      <c r="CM56" s="296"/>
      <c r="CN56" s="296"/>
      <c r="CO56" s="296"/>
      <c r="CP56" s="296"/>
      <c r="CS56" s="294"/>
      <c r="CT56" s="295"/>
      <c r="CU56" s="296"/>
      <c r="CV56" s="296"/>
      <c r="CW56" s="296"/>
      <c r="CX56" s="296"/>
      <c r="CY56" s="296"/>
      <c r="CZ56" s="296"/>
      <c r="DA56" s="296"/>
      <c r="DD56" s="294"/>
      <c r="DE56" s="295"/>
      <c r="DF56" s="296"/>
      <c r="DG56" s="296"/>
      <c r="DH56" s="296"/>
      <c r="DI56" s="296"/>
      <c r="DJ56" s="296"/>
      <c r="DK56" s="296"/>
      <c r="DL56" s="296"/>
      <c r="DO56" s="294"/>
      <c r="DP56" s="295"/>
      <c r="DQ56" s="296"/>
      <c r="DR56" s="296"/>
      <c r="DS56" s="296"/>
      <c r="DT56" s="296"/>
      <c r="DU56" s="296"/>
      <c r="DV56" s="296"/>
      <c r="DW56" s="296"/>
      <c r="DZ56" s="294"/>
      <c r="EA56" s="295"/>
      <c r="EB56" s="296"/>
      <c r="EC56" s="296"/>
      <c r="ED56" s="296"/>
      <c r="EE56" s="296"/>
      <c r="EF56" s="296"/>
      <c r="EG56" s="296"/>
      <c r="EH56" s="296"/>
    </row>
    <row r="57" spans="1:138">
      <c r="B57" s="298" t="s">
        <v>596</v>
      </c>
      <c r="C57" s="299"/>
      <c r="D57" s="300" t="s">
        <v>175</v>
      </c>
      <c r="E57" s="300" t="s">
        <v>176</v>
      </c>
      <c r="F57" s="300" t="s">
        <v>177</v>
      </c>
      <c r="G57" s="300" t="s">
        <v>178</v>
      </c>
      <c r="H57" s="300" t="s">
        <v>179</v>
      </c>
      <c r="I57" s="300" t="s">
        <v>180</v>
      </c>
      <c r="J57" s="300"/>
      <c r="L57" s="298" t="s">
        <v>596</v>
      </c>
      <c r="M57" s="299"/>
      <c r="N57" s="300" t="s">
        <v>175</v>
      </c>
      <c r="O57" s="300" t="s">
        <v>176</v>
      </c>
      <c r="P57" s="300" t="s">
        <v>177</v>
      </c>
      <c r="Q57" s="300" t="s">
        <v>178</v>
      </c>
      <c r="R57" s="300" t="s">
        <v>179</v>
      </c>
      <c r="S57" s="300" t="s">
        <v>180</v>
      </c>
      <c r="T57" s="300"/>
      <c r="V57" s="298" t="s">
        <v>596</v>
      </c>
      <c r="W57" s="299"/>
      <c r="X57" s="300" t="s">
        <v>175</v>
      </c>
      <c r="Y57" s="300" t="s">
        <v>176</v>
      </c>
      <c r="Z57" s="300" t="s">
        <v>177</v>
      </c>
      <c r="AA57" s="300" t="s">
        <v>178</v>
      </c>
      <c r="AB57" s="300" t="s">
        <v>179</v>
      </c>
      <c r="AC57" s="300" t="s">
        <v>180</v>
      </c>
      <c r="AD57" s="300"/>
      <c r="AF57" s="298" t="s">
        <v>596</v>
      </c>
      <c r="AG57" s="299"/>
      <c r="AH57" s="300" t="s">
        <v>175</v>
      </c>
      <c r="AI57" s="300" t="s">
        <v>176</v>
      </c>
      <c r="AJ57" s="300" t="s">
        <v>177</v>
      </c>
      <c r="AK57" s="300" t="s">
        <v>178</v>
      </c>
      <c r="AL57" s="300" t="s">
        <v>179</v>
      </c>
      <c r="AM57" s="300" t="s">
        <v>180</v>
      </c>
      <c r="AN57" s="300"/>
      <c r="AP57" s="298" t="s">
        <v>596</v>
      </c>
      <c r="AQ57" s="299"/>
      <c r="AR57" s="300" t="s">
        <v>175</v>
      </c>
      <c r="AS57" s="300" t="s">
        <v>176</v>
      </c>
      <c r="AT57" s="300" t="s">
        <v>177</v>
      </c>
      <c r="AU57" s="300" t="s">
        <v>178</v>
      </c>
      <c r="AV57" s="300" t="s">
        <v>179</v>
      </c>
      <c r="AW57" s="300" t="s">
        <v>180</v>
      </c>
      <c r="AX57" s="300"/>
      <c r="AY57"/>
      <c r="BA57" s="298" t="s">
        <v>596</v>
      </c>
      <c r="BB57" s="299"/>
      <c r="BC57" s="300" t="s">
        <v>175</v>
      </c>
      <c r="BD57" s="300" t="s">
        <v>176</v>
      </c>
      <c r="BE57" s="300" t="s">
        <v>177</v>
      </c>
      <c r="BF57" s="300" t="s">
        <v>178</v>
      </c>
      <c r="BG57" s="300" t="s">
        <v>179</v>
      </c>
      <c r="BH57" s="300" t="s">
        <v>180</v>
      </c>
      <c r="BI57" s="300"/>
      <c r="BL57" s="298" t="s">
        <v>596</v>
      </c>
      <c r="BM57" s="299"/>
      <c r="BN57" s="300" t="s">
        <v>175</v>
      </c>
      <c r="BO57" s="300" t="s">
        <v>176</v>
      </c>
      <c r="BP57" s="300" t="s">
        <v>177</v>
      </c>
      <c r="BQ57" s="300" t="s">
        <v>178</v>
      </c>
      <c r="BR57" s="300" t="s">
        <v>179</v>
      </c>
      <c r="BS57" s="300" t="s">
        <v>180</v>
      </c>
      <c r="BT57" s="300"/>
      <c r="BW57" s="298" t="s">
        <v>596</v>
      </c>
      <c r="BX57" s="299"/>
      <c r="BY57" s="300" t="s">
        <v>175</v>
      </c>
      <c r="BZ57" s="300" t="s">
        <v>176</v>
      </c>
      <c r="CA57" s="300" t="s">
        <v>177</v>
      </c>
      <c r="CB57" s="300" t="s">
        <v>178</v>
      </c>
      <c r="CC57" s="300" t="s">
        <v>179</v>
      </c>
      <c r="CD57" s="300" t="s">
        <v>180</v>
      </c>
      <c r="CE57" s="300"/>
      <c r="CH57" s="298" t="s">
        <v>596</v>
      </c>
      <c r="CI57" s="299"/>
      <c r="CJ57" s="300" t="s">
        <v>175</v>
      </c>
      <c r="CK57" s="300" t="s">
        <v>176</v>
      </c>
      <c r="CL57" s="300" t="s">
        <v>177</v>
      </c>
      <c r="CM57" s="300" t="s">
        <v>178</v>
      </c>
      <c r="CN57" s="300" t="s">
        <v>179</v>
      </c>
      <c r="CO57" s="300" t="s">
        <v>180</v>
      </c>
      <c r="CP57" s="300"/>
      <c r="CS57" s="298" t="s">
        <v>596</v>
      </c>
      <c r="CT57" s="299"/>
      <c r="CU57" s="300" t="s">
        <v>175</v>
      </c>
      <c r="CV57" s="300" t="s">
        <v>176</v>
      </c>
      <c r="CW57" s="300" t="s">
        <v>177</v>
      </c>
      <c r="CX57" s="300" t="s">
        <v>178</v>
      </c>
      <c r="CY57" s="300" t="s">
        <v>179</v>
      </c>
      <c r="CZ57" s="300" t="s">
        <v>180</v>
      </c>
      <c r="DA57" s="300"/>
      <c r="DD57" s="298" t="s">
        <v>596</v>
      </c>
      <c r="DE57" s="299"/>
      <c r="DF57" s="300" t="s">
        <v>175</v>
      </c>
      <c r="DG57" s="300" t="s">
        <v>176</v>
      </c>
      <c r="DH57" s="300" t="s">
        <v>177</v>
      </c>
      <c r="DI57" s="300" t="s">
        <v>178</v>
      </c>
      <c r="DJ57" s="300" t="s">
        <v>179</v>
      </c>
      <c r="DK57" s="300" t="s">
        <v>180</v>
      </c>
      <c r="DL57" s="300"/>
      <c r="DO57" s="298" t="s">
        <v>596</v>
      </c>
      <c r="DP57" s="299"/>
      <c r="DQ57" s="300" t="s">
        <v>175</v>
      </c>
      <c r="DR57" s="300" t="s">
        <v>176</v>
      </c>
      <c r="DS57" s="300" t="s">
        <v>177</v>
      </c>
      <c r="DT57" s="300" t="s">
        <v>178</v>
      </c>
      <c r="DU57" s="300" t="s">
        <v>179</v>
      </c>
      <c r="DV57" s="300" t="s">
        <v>180</v>
      </c>
      <c r="DW57" s="300"/>
      <c r="DZ57" s="298" t="s">
        <v>596</v>
      </c>
      <c r="EA57" s="299"/>
      <c r="EB57" s="300" t="s">
        <v>175</v>
      </c>
      <c r="EC57" s="300" t="s">
        <v>176</v>
      </c>
      <c r="ED57" s="300" t="s">
        <v>177</v>
      </c>
      <c r="EE57" s="300" t="s">
        <v>178</v>
      </c>
      <c r="EF57" s="300" t="s">
        <v>179</v>
      </c>
      <c r="EG57" s="300" t="s">
        <v>180</v>
      </c>
      <c r="EH57" s="300"/>
    </row>
    <row r="58" spans="1:138">
      <c r="B58" s="298">
        <f>SUM(F59:F66)</f>
        <v>238557.95</v>
      </c>
      <c r="C58" s="299" t="s">
        <v>657</v>
      </c>
      <c r="D58" s="300"/>
      <c r="E58" s="300"/>
      <c r="F58" s="300" t="s">
        <v>181</v>
      </c>
      <c r="G58" s="300" t="s">
        <v>119</v>
      </c>
      <c r="H58" s="300" t="s">
        <v>86</v>
      </c>
      <c r="I58" s="300" t="s">
        <v>119</v>
      </c>
      <c r="J58" s="300"/>
      <c r="L58" s="298">
        <f>SUM(P59:P66)</f>
        <v>169532.285</v>
      </c>
      <c r="M58" s="299" t="s">
        <v>657</v>
      </c>
      <c r="N58" s="300"/>
      <c r="O58" s="300"/>
      <c r="P58" s="300" t="s">
        <v>181</v>
      </c>
      <c r="Q58" s="300" t="s">
        <v>119</v>
      </c>
      <c r="R58" s="300" t="s">
        <v>86</v>
      </c>
      <c r="S58" s="300" t="s">
        <v>119</v>
      </c>
      <c r="T58" s="300"/>
      <c r="V58" s="298">
        <f>SUM(Z59:Z66)</f>
        <v>174006.8</v>
      </c>
      <c r="W58" s="299" t="s">
        <v>657</v>
      </c>
      <c r="X58" s="300"/>
      <c r="Y58" s="300"/>
      <c r="Z58" s="300" t="s">
        <v>181</v>
      </c>
      <c r="AA58" s="300" t="s">
        <v>119</v>
      </c>
      <c r="AB58" s="300" t="s">
        <v>86</v>
      </c>
      <c r="AC58" s="300" t="s">
        <v>119</v>
      </c>
      <c r="AD58" s="300"/>
      <c r="AF58" s="298">
        <f>SUM(AJ59:AJ66)</f>
        <v>170031.16957</v>
      </c>
      <c r="AG58" s="299" t="s">
        <v>657</v>
      </c>
      <c r="AH58" s="300"/>
      <c r="AI58" s="300"/>
      <c r="AJ58" s="300" t="s">
        <v>181</v>
      </c>
      <c r="AK58" s="300" t="s">
        <v>119</v>
      </c>
      <c r="AL58" s="300" t="s">
        <v>86</v>
      </c>
      <c r="AM58" s="300" t="s">
        <v>119</v>
      </c>
      <c r="AN58" s="300"/>
      <c r="AP58" s="298">
        <f>SUM(AT59:AT66)</f>
        <v>238557.95</v>
      </c>
      <c r="AQ58" s="299" t="s">
        <v>657</v>
      </c>
      <c r="AR58" s="300"/>
      <c r="AS58" s="300"/>
      <c r="AT58" s="300" t="s">
        <v>181</v>
      </c>
      <c r="AU58" s="300" t="s">
        <v>119</v>
      </c>
      <c r="AV58" s="300" t="s">
        <v>86</v>
      </c>
      <c r="AW58" s="300" t="s">
        <v>119</v>
      </c>
      <c r="AX58" s="300"/>
      <c r="AY58"/>
      <c r="BA58" s="298">
        <f>SUM(BE59:BE66)</f>
        <v>169532.285</v>
      </c>
      <c r="BB58" s="299" t="s">
        <v>657</v>
      </c>
      <c r="BC58" s="300"/>
      <c r="BD58" s="300"/>
      <c r="BE58" s="300" t="s">
        <v>181</v>
      </c>
      <c r="BF58" s="300" t="s">
        <v>119</v>
      </c>
      <c r="BG58" s="300" t="s">
        <v>86</v>
      </c>
      <c r="BH58" s="300" t="s">
        <v>119</v>
      </c>
      <c r="BI58" s="300"/>
      <c r="BL58" s="298">
        <f>SUM(BP59:BP66)</f>
        <v>174006.8</v>
      </c>
      <c r="BM58" s="299" t="s">
        <v>657</v>
      </c>
      <c r="BN58" s="300"/>
      <c r="BO58" s="300"/>
      <c r="BP58" s="300" t="s">
        <v>181</v>
      </c>
      <c r="BQ58" s="300" t="s">
        <v>119</v>
      </c>
      <c r="BR58" s="300" t="s">
        <v>86</v>
      </c>
      <c r="BS58" s="300" t="s">
        <v>119</v>
      </c>
      <c r="BT58" s="300"/>
      <c r="BW58" s="298">
        <f>SUM(CA59:CA66)</f>
        <v>170031.16957</v>
      </c>
      <c r="BX58" s="299" t="s">
        <v>657</v>
      </c>
      <c r="BY58" s="300"/>
      <c r="BZ58" s="300"/>
      <c r="CA58" s="300" t="s">
        <v>181</v>
      </c>
      <c r="CB58" s="300" t="s">
        <v>119</v>
      </c>
      <c r="CC58" s="300" t="s">
        <v>86</v>
      </c>
      <c r="CD58" s="300" t="s">
        <v>119</v>
      </c>
      <c r="CE58" s="300"/>
      <c r="CH58" s="298">
        <f>SUM(CL59:CL66)</f>
        <v>238557.95</v>
      </c>
      <c r="CI58" s="299" t="s">
        <v>657</v>
      </c>
      <c r="CJ58" s="300"/>
      <c r="CK58" s="300"/>
      <c r="CL58" s="300" t="s">
        <v>181</v>
      </c>
      <c r="CM58" s="300" t="s">
        <v>119</v>
      </c>
      <c r="CN58" s="300" t="s">
        <v>86</v>
      </c>
      <c r="CO58" s="300" t="s">
        <v>119</v>
      </c>
      <c r="CP58" s="300"/>
      <c r="CS58" s="298">
        <f>SUM(CW59:CW66)</f>
        <v>169532.285</v>
      </c>
      <c r="CT58" s="299" t="s">
        <v>657</v>
      </c>
      <c r="CU58" s="300"/>
      <c r="CV58" s="300"/>
      <c r="CW58" s="300" t="s">
        <v>181</v>
      </c>
      <c r="CX58" s="300" t="s">
        <v>119</v>
      </c>
      <c r="CY58" s="300" t="s">
        <v>86</v>
      </c>
      <c r="CZ58" s="300" t="s">
        <v>119</v>
      </c>
      <c r="DA58" s="300"/>
      <c r="DD58" s="298">
        <f>SUM(DH59:DH66)</f>
        <v>174006.8</v>
      </c>
      <c r="DE58" s="299" t="s">
        <v>657</v>
      </c>
      <c r="DF58" s="300"/>
      <c r="DG58" s="300"/>
      <c r="DH58" s="300" t="s">
        <v>181</v>
      </c>
      <c r="DI58" s="300" t="s">
        <v>119</v>
      </c>
      <c r="DJ58" s="300" t="s">
        <v>86</v>
      </c>
      <c r="DK58" s="300" t="s">
        <v>119</v>
      </c>
      <c r="DL58" s="300"/>
      <c r="DO58" s="298">
        <f>SUM(DS59:DS66)</f>
        <v>170031.16957</v>
      </c>
      <c r="DP58" s="299" t="s">
        <v>657</v>
      </c>
      <c r="DQ58" s="300"/>
      <c r="DR58" s="300"/>
      <c r="DS58" s="300" t="s">
        <v>181</v>
      </c>
      <c r="DT58" s="300" t="s">
        <v>119</v>
      </c>
      <c r="DU58" s="300" t="s">
        <v>86</v>
      </c>
      <c r="DV58" s="300" t="s">
        <v>119</v>
      </c>
      <c r="DW58" s="300"/>
      <c r="DZ58" s="298">
        <f>SUM(ED59:ED66)</f>
        <v>238557.95</v>
      </c>
      <c r="EA58" s="299" t="s">
        <v>657</v>
      </c>
      <c r="EB58" s="300"/>
      <c r="EC58" s="300"/>
      <c r="ED58" s="300" t="s">
        <v>181</v>
      </c>
      <c r="EE58" s="300" t="s">
        <v>119</v>
      </c>
      <c r="EF58" s="300" t="s">
        <v>86</v>
      </c>
      <c r="EG58" s="300" t="s">
        <v>119</v>
      </c>
      <c r="EH58" s="300"/>
    </row>
    <row r="59" spans="1:138">
      <c r="B59" s="298"/>
      <c r="C59" s="299"/>
      <c r="D59" s="300" t="s">
        <v>125</v>
      </c>
      <c r="E59" s="300" t="s">
        <v>790</v>
      </c>
      <c r="F59" s="301">
        <v>19369.599999999999</v>
      </c>
      <c r="G59" s="301">
        <v>51998800</v>
      </c>
      <c r="H59" s="300">
        <v>620.601</v>
      </c>
      <c r="I59" s="300">
        <v>3897.23</v>
      </c>
      <c r="J59" s="300"/>
      <c r="L59" s="298"/>
      <c r="M59" s="299"/>
      <c r="N59" s="300" t="s">
        <v>125</v>
      </c>
      <c r="O59" s="300" t="s">
        <v>790</v>
      </c>
      <c r="P59" s="301">
        <v>19701.5</v>
      </c>
      <c r="Q59" s="301">
        <v>52889900</v>
      </c>
      <c r="R59" s="300">
        <v>631.23599999999999</v>
      </c>
      <c r="S59" s="300">
        <v>3964.02</v>
      </c>
      <c r="T59" s="300"/>
      <c r="V59" s="298"/>
      <c r="W59" s="299"/>
      <c r="X59" s="300" t="s">
        <v>125</v>
      </c>
      <c r="Y59" s="300" t="s">
        <v>790</v>
      </c>
      <c r="Z59" s="301">
        <v>22838.6</v>
      </c>
      <c r="AA59" s="301">
        <v>61311700</v>
      </c>
      <c r="AB59" s="300">
        <v>731.74900000000002</v>
      </c>
      <c r="AC59" s="300">
        <v>4595.21</v>
      </c>
      <c r="AD59" s="300"/>
      <c r="AF59" s="298"/>
      <c r="AG59" s="299"/>
      <c r="AH59" s="300" t="s">
        <v>125</v>
      </c>
      <c r="AI59" s="300" t="s">
        <v>790</v>
      </c>
      <c r="AJ59" s="301">
        <v>28362.400000000001</v>
      </c>
      <c r="AK59" s="301">
        <v>76140600</v>
      </c>
      <c r="AL59" s="300">
        <v>908.73</v>
      </c>
      <c r="AM59" s="300">
        <v>5706.62</v>
      </c>
      <c r="AN59" s="300"/>
      <c r="AP59" s="298"/>
      <c r="AQ59" s="299"/>
      <c r="AR59" s="300" t="s">
        <v>125</v>
      </c>
      <c r="AS59" s="300" t="s">
        <v>790</v>
      </c>
      <c r="AT59" s="301">
        <v>19369.599999999999</v>
      </c>
      <c r="AU59" s="301">
        <v>51998800</v>
      </c>
      <c r="AV59" s="300">
        <v>620.601</v>
      </c>
      <c r="AW59" s="300">
        <v>3897.23</v>
      </c>
      <c r="AX59" s="300"/>
      <c r="AY59"/>
      <c r="BA59" s="298"/>
      <c r="BB59" s="299"/>
      <c r="BC59" s="300" t="s">
        <v>125</v>
      </c>
      <c r="BD59" s="300" t="s">
        <v>790</v>
      </c>
      <c r="BE59" s="301">
        <v>19701.5</v>
      </c>
      <c r="BF59" s="301">
        <v>52889900</v>
      </c>
      <c r="BG59" s="300">
        <v>631.23599999999999</v>
      </c>
      <c r="BH59" s="300">
        <v>3964.02</v>
      </c>
      <c r="BI59" s="300"/>
      <c r="BL59" s="298"/>
      <c r="BM59" s="299"/>
      <c r="BN59" s="300" t="s">
        <v>125</v>
      </c>
      <c r="BO59" s="300" t="s">
        <v>790</v>
      </c>
      <c r="BP59" s="301">
        <v>22838.6</v>
      </c>
      <c r="BQ59" s="301">
        <v>61311700</v>
      </c>
      <c r="BR59" s="300">
        <v>731.74900000000002</v>
      </c>
      <c r="BS59" s="300">
        <v>4595.21</v>
      </c>
      <c r="BT59" s="300"/>
      <c r="BW59" s="298"/>
      <c r="BX59" s="299"/>
      <c r="BY59" s="300" t="s">
        <v>125</v>
      </c>
      <c r="BZ59" s="300" t="s">
        <v>790</v>
      </c>
      <c r="CA59" s="301">
        <v>28362.400000000001</v>
      </c>
      <c r="CB59" s="301">
        <v>76140600</v>
      </c>
      <c r="CC59" s="300">
        <v>908.73</v>
      </c>
      <c r="CD59" s="300">
        <v>5706.62</v>
      </c>
      <c r="CE59" s="300"/>
      <c r="CH59" s="298"/>
      <c r="CI59" s="299"/>
      <c r="CJ59" s="300" t="s">
        <v>125</v>
      </c>
      <c r="CK59" s="300" t="s">
        <v>790</v>
      </c>
      <c r="CL59" s="301">
        <v>19369.599999999999</v>
      </c>
      <c r="CM59" s="301">
        <v>51998800</v>
      </c>
      <c r="CN59" s="300">
        <v>620.601</v>
      </c>
      <c r="CO59" s="300">
        <v>3897.23</v>
      </c>
      <c r="CP59" s="300"/>
      <c r="CS59" s="298"/>
      <c r="CT59" s="299"/>
      <c r="CU59" s="300" t="s">
        <v>125</v>
      </c>
      <c r="CV59" s="300" t="s">
        <v>790</v>
      </c>
      <c r="CW59" s="301">
        <v>19701.5</v>
      </c>
      <c r="CX59" s="301">
        <v>52889900</v>
      </c>
      <c r="CY59" s="300">
        <v>631.23599999999999</v>
      </c>
      <c r="CZ59" s="300">
        <v>3964.02</v>
      </c>
      <c r="DA59" s="300"/>
      <c r="DD59" s="298"/>
      <c r="DE59" s="299"/>
      <c r="DF59" s="300" t="s">
        <v>125</v>
      </c>
      <c r="DG59" s="300" t="s">
        <v>790</v>
      </c>
      <c r="DH59" s="301">
        <v>22838.6</v>
      </c>
      <c r="DI59" s="301">
        <v>61311700</v>
      </c>
      <c r="DJ59" s="300">
        <v>731.74900000000002</v>
      </c>
      <c r="DK59" s="300">
        <v>4595.21</v>
      </c>
      <c r="DL59" s="300"/>
      <c r="DO59" s="298"/>
      <c r="DP59" s="299"/>
      <c r="DQ59" s="300" t="s">
        <v>125</v>
      </c>
      <c r="DR59" s="300" t="s">
        <v>790</v>
      </c>
      <c r="DS59" s="301">
        <v>28362.400000000001</v>
      </c>
      <c r="DT59" s="301">
        <v>76140600</v>
      </c>
      <c r="DU59" s="300">
        <v>908.73</v>
      </c>
      <c r="DV59" s="300">
        <v>5706.62</v>
      </c>
      <c r="DW59" s="300"/>
      <c r="DZ59" s="298"/>
      <c r="EA59" s="299"/>
      <c r="EB59" s="300" t="s">
        <v>125</v>
      </c>
      <c r="EC59" s="300" t="s">
        <v>790</v>
      </c>
      <c r="ED59" s="301">
        <v>19369.599999999999</v>
      </c>
      <c r="EE59" s="301">
        <v>51998800</v>
      </c>
      <c r="EF59" s="300">
        <v>620.601</v>
      </c>
      <c r="EG59" s="300">
        <v>3897.23</v>
      </c>
      <c r="EH59" s="300"/>
    </row>
    <row r="60" spans="1:138">
      <c r="B60" s="298"/>
      <c r="C60" s="299"/>
      <c r="D60" s="300" t="s">
        <v>79</v>
      </c>
      <c r="E60" s="300" t="s">
        <v>790</v>
      </c>
      <c r="F60" s="301">
        <v>77737.3</v>
      </c>
      <c r="G60" s="301">
        <v>208691000</v>
      </c>
      <c r="H60" s="301">
        <v>2490.6999999999998</v>
      </c>
      <c r="I60" s="301">
        <v>15641</v>
      </c>
      <c r="J60" s="300"/>
      <c r="L60" s="298"/>
      <c r="M60" s="299"/>
      <c r="N60" s="300" t="s">
        <v>79</v>
      </c>
      <c r="O60" s="300" t="s">
        <v>790</v>
      </c>
      <c r="P60" s="301">
        <v>62776.1</v>
      </c>
      <c r="Q60" s="301">
        <v>168527000</v>
      </c>
      <c r="R60" s="301">
        <v>2011.35</v>
      </c>
      <c r="S60" s="301">
        <v>12630.8</v>
      </c>
      <c r="T60" s="300"/>
      <c r="V60" s="298"/>
      <c r="W60" s="299"/>
      <c r="X60" s="300" t="s">
        <v>79</v>
      </c>
      <c r="Y60" s="300" t="s">
        <v>790</v>
      </c>
      <c r="Z60" s="301">
        <v>59537.9</v>
      </c>
      <c r="AA60" s="301">
        <v>159833000</v>
      </c>
      <c r="AB60" s="301">
        <v>1907.59</v>
      </c>
      <c r="AC60" s="301">
        <v>11979.3</v>
      </c>
      <c r="AD60" s="300"/>
      <c r="AF60" s="298"/>
      <c r="AG60" s="299"/>
      <c r="AH60" s="300" t="s">
        <v>79</v>
      </c>
      <c r="AI60" s="300" t="s">
        <v>790</v>
      </c>
      <c r="AJ60" s="301">
        <v>81160.5</v>
      </c>
      <c r="AK60" s="301">
        <v>217881000</v>
      </c>
      <c r="AL60" s="301">
        <v>2600.38</v>
      </c>
      <c r="AM60" s="301">
        <v>16329.8</v>
      </c>
      <c r="AN60" s="300"/>
      <c r="AP60" s="298"/>
      <c r="AQ60" s="299"/>
      <c r="AR60" s="300" t="s">
        <v>79</v>
      </c>
      <c r="AS60" s="300" t="s">
        <v>790</v>
      </c>
      <c r="AT60" s="301">
        <v>77737.3</v>
      </c>
      <c r="AU60" s="301">
        <v>208691000</v>
      </c>
      <c r="AV60" s="301">
        <v>2490.6999999999998</v>
      </c>
      <c r="AW60" s="301">
        <v>15641</v>
      </c>
      <c r="AX60" s="300"/>
      <c r="AY60"/>
      <c r="BA60" s="298"/>
      <c r="BB60" s="299"/>
      <c r="BC60" s="300" t="s">
        <v>79</v>
      </c>
      <c r="BD60" s="300" t="s">
        <v>790</v>
      </c>
      <c r="BE60" s="301">
        <v>62776.1</v>
      </c>
      <c r="BF60" s="301">
        <v>168527000</v>
      </c>
      <c r="BG60" s="301">
        <v>2011.35</v>
      </c>
      <c r="BH60" s="301">
        <v>12630.8</v>
      </c>
      <c r="BI60" s="300"/>
      <c r="BL60" s="298"/>
      <c r="BM60" s="299"/>
      <c r="BN60" s="300" t="s">
        <v>79</v>
      </c>
      <c r="BO60" s="300" t="s">
        <v>790</v>
      </c>
      <c r="BP60" s="301">
        <v>59537.9</v>
      </c>
      <c r="BQ60" s="301">
        <v>159833000</v>
      </c>
      <c r="BR60" s="301">
        <v>1907.59</v>
      </c>
      <c r="BS60" s="301">
        <v>11979.3</v>
      </c>
      <c r="BT60" s="300"/>
      <c r="BW60" s="298"/>
      <c r="BX60" s="299"/>
      <c r="BY60" s="300" t="s">
        <v>79</v>
      </c>
      <c r="BZ60" s="300" t="s">
        <v>790</v>
      </c>
      <c r="CA60" s="301">
        <v>81160.5</v>
      </c>
      <c r="CB60" s="301">
        <v>217881000</v>
      </c>
      <c r="CC60" s="301">
        <v>2600.38</v>
      </c>
      <c r="CD60" s="301">
        <v>16329.8</v>
      </c>
      <c r="CE60" s="300"/>
      <c r="CH60" s="298"/>
      <c r="CI60" s="299"/>
      <c r="CJ60" s="300" t="s">
        <v>79</v>
      </c>
      <c r="CK60" s="300" t="s">
        <v>790</v>
      </c>
      <c r="CL60" s="301">
        <v>77737.3</v>
      </c>
      <c r="CM60" s="301">
        <v>208691000</v>
      </c>
      <c r="CN60" s="301">
        <v>2490.6999999999998</v>
      </c>
      <c r="CO60" s="301">
        <v>15641</v>
      </c>
      <c r="CP60" s="300"/>
      <c r="CS60" s="298"/>
      <c r="CT60" s="299"/>
      <c r="CU60" s="300" t="s">
        <v>79</v>
      </c>
      <c r="CV60" s="300" t="s">
        <v>790</v>
      </c>
      <c r="CW60" s="301">
        <v>62776.1</v>
      </c>
      <c r="CX60" s="301">
        <v>168527000</v>
      </c>
      <c r="CY60" s="301">
        <v>2011.35</v>
      </c>
      <c r="CZ60" s="301">
        <v>12630.8</v>
      </c>
      <c r="DA60" s="300"/>
      <c r="DD60" s="298"/>
      <c r="DE60" s="299"/>
      <c r="DF60" s="300" t="s">
        <v>79</v>
      </c>
      <c r="DG60" s="300" t="s">
        <v>790</v>
      </c>
      <c r="DH60" s="301">
        <v>59537.9</v>
      </c>
      <c r="DI60" s="301">
        <v>159833000</v>
      </c>
      <c r="DJ60" s="301">
        <v>1907.59</v>
      </c>
      <c r="DK60" s="301">
        <v>11979.3</v>
      </c>
      <c r="DL60" s="300"/>
      <c r="DO60" s="298"/>
      <c r="DP60" s="299"/>
      <c r="DQ60" s="300" t="s">
        <v>79</v>
      </c>
      <c r="DR60" s="300" t="s">
        <v>790</v>
      </c>
      <c r="DS60" s="301">
        <v>81160.5</v>
      </c>
      <c r="DT60" s="301">
        <v>217881000</v>
      </c>
      <c r="DU60" s="301">
        <v>2600.38</v>
      </c>
      <c r="DV60" s="301">
        <v>16329.8</v>
      </c>
      <c r="DW60" s="300"/>
      <c r="DZ60" s="298"/>
      <c r="EA60" s="299"/>
      <c r="EB60" s="300" t="s">
        <v>79</v>
      </c>
      <c r="EC60" s="300" t="s">
        <v>790</v>
      </c>
      <c r="ED60" s="301">
        <v>77737.3</v>
      </c>
      <c r="EE60" s="301">
        <v>208691000</v>
      </c>
      <c r="EF60" s="301">
        <v>2490.6999999999998</v>
      </c>
      <c r="EG60" s="301">
        <v>15641</v>
      </c>
      <c r="EH60" s="300"/>
    </row>
    <row r="61" spans="1:138">
      <c r="B61" s="298"/>
      <c r="C61" s="299"/>
      <c r="D61" s="300" t="s">
        <v>80</v>
      </c>
      <c r="E61" s="300" t="s">
        <v>790</v>
      </c>
      <c r="F61" s="301">
        <v>65954.600000000006</v>
      </c>
      <c r="G61" s="301">
        <v>177059000</v>
      </c>
      <c r="H61" s="300">
        <v>2113.19</v>
      </c>
      <c r="I61" s="300">
        <v>13270.3</v>
      </c>
      <c r="J61" s="300"/>
      <c r="L61" s="298"/>
      <c r="M61" s="299"/>
      <c r="N61" s="300" t="s">
        <v>80</v>
      </c>
      <c r="O61" s="300" t="s">
        <v>790</v>
      </c>
      <c r="P61" s="301">
        <v>48031.6</v>
      </c>
      <c r="Q61" s="301">
        <v>128944000</v>
      </c>
      <c r="R61" s="300">
        <v>1538.93</v>
      </c>
      <c r="S61" s="300">
        <v>9664.1299999999992</v>
      </c>
      <c r="T61" s="300"/>
      <c r="V61" s="298"/>
      <c r="W61" s="299"/>
      <c r="X61" s="300" t="s">
        <v>80</v>
      </c>
      <c r="Y61" s="300" t="s">
        <v>790</v>
      </c>
      <c r="Z61" s="301">
        <v>34337.4</v>
      </c>
      <c r="AA61" s="301">
        <v>92180900</v>
      </c>
      <c r="AB61" s="300">
        <v>1100.17</v>
      </c>
      <c r="AC61" s="300">
        <v>6908.81</v>
      </c>
      <c r="AD61" s="300"/>
      <c r="AF61" s="298"/>
      <c r="AG61" s="299"/>
      <c r="AH61" s="300" t="s">
        <v>80</v>
      </c>
      <c r="AI61" s="300" t="s">
        <v>790</v>
      </c>
      <c r="AJ61" s="301">
        <v>10858</v>
      </c>
      <c r="AK61" s="301">
        <v>29148900</v>
      </c>
      <c r="AL61" s="300">
        <v>347.89</v>
      </c>
      <c r="AM61" s="300">
        <v>2184.67</v>
      </c>
      <c r="AN61" s="300"/>
      <c r="AP61" s="298"/>
      <c r="AQ61" s="299"/>
      <c r="AR61" s="300" t="s">
        <v>80</v>
      </c>
      <c r="AS61" s="300" t="s">
        <v>790</v>
      </c>
      <c r="AT61" s="301">
        <v>65954.600000000006</v>
      </c>
      <c r="AU61" s="301">
        <v>177059000</v>
      </c>
      <c r="AV61" s="300">
        <v>2113.19</v>
      </c>
      <c r="AW61" s="300">
        <v>13270.3</v>
      </c>
      <c r="AX61" s="300"/>
      <c r="AY61"/>
      <c r="BA61" s="298"/>
      <c r="BB61" s="299"/>
      <c r="BC61" s="300" t="s">
        <v>80</v>
      </c>
      <c r="BD61" s="300" t="s">
        <v>790</v>
      </c>
      <c r="BE61" s="301">
        <v>48031.6</v>
      </c>
      <c r="BF61" s="301">
        <v>128944000</v>
      </c>
      <c r="BG61" s="300">
        <v>1538.93</v>
      </c>
      <c r="BH61" s="300">
        <v>9664.1299999999992</v>
      </c>
      <c r="BI61" s="300"/>
      <c r="BL61" s="298"/>
      <c r="BM61" s="299"/>
      <c r="BN61" s="300" t="s">
        <v>80</v>
      </c>
      <c r="BO61" s="300" t="s">
        <v>790</v>
      </c>
      <c r="BP61" s="301">
        <v>34337.4</v>
      </c>
      <c r="BQ61" s="301">
        <v>92180900</v>
      </c>
      <c r="BR61" s="300">
        <v>1100.17</v>
      </c>
      <c r="BS61" s="300">
        <v>6908.81</v>
      </c>
      <c r="BT61" s="300"/>
      <c r="BW61" s="298"/>
      <c r="BX61" s="299"/>
      <c r="BY61" s="300" t="s">
        <v>80</v>
      </c>
      <c r="BZ61" s="300" t="s">
        <v>790</v>
      </c>
      <c r="CA61" s="301">
        <v>10858</v>
      </c>
      <c r="CB61" s="301">
        <v>29148900</v>
      </c>
      <c r="CC61" s="300">
        <v>347.89</v>
      </c>
      <c r="CD61" s="300">
        <v>2184.67</v>
      </c>
      <c r="CE61" s="300"/>
      <c r="CH61" s="298"/>
      <c r="CI61" s="299"/>
      <c r="CJ61" s="300" t="s">
        <v>80</v>
      </c>
      <c r="CK61" s="300" t="s">
        <v>790</v>
      </c>
      <c r="CL61" s="301">
        <v>65954.600000000006</v>
      </c>
      <c r="CM61" s="301">
        <v>177059000</v>
      </c>
      <c r="CN61" s="300">
        <v>2113.19</v>
      </c>
      <c r="CO61" s="300">
        <v>13270.3</v>
      </c>
      <c r="CP61" s="300"/>
      <c r="CS61" s="298"/>
      <c r="CT61" s="299"/>
      <c r="CU61" s="300" t="s">
        <v>80</v>
      </c>
      <c r="CV61" s="300" t="s">
        <v>790</v>
      </c>
      <c r="CW61" s="301">
        <v>48031.6</v>
      </c>
      <c r="CX61" s="301">
        <v>128944000</v>
      </c>
      <c r="CY61" s="300">
        <v>1538.93</v>
      </c>
      <c r="CZ61" s="300">
        <v>9664.1299999999992</v>
      </c>
      <c r="DA61" s="300"/>
      <c r="DD61" s="298"/>
      <c r="DE61" s="299"/>
      <c r="DF61" s="300" t="s">
        <v>80</v>
      </c>
      <c r="DG61" s="300" t="s">
        <v>790</v>
      </c>
      <c r="DH61" s="301">
        <v>34337.4</v>
      </c>
      <c r="DI61" s="301">
        <v>92180900</v>
      </c>
      <c r="DJ61" s="300">
        <v>1100.17</v>
      </c>
      <c r="DK61" s="300">
        <v>6908.81</v>
      </c>
      <c r="DL61" s="300"/>
      <c r="DO61" s="298"/>
      <c r="DP61" s="299"/>
      <c r="DQ61" s="300" t="s">
        <v>80</v>
      </c>
      <c r="DR61" s="300" t="s">
        <v>790</v>
      </c>
      <c r="DS61" s="301">
        <v>10858</v>
      </c>
      <c r="DT61" s="301">
        <v>29148900</v>
      </c>
      <c r="DU61" s="300">
        <v>347.89</v>
      </c>
      <c r="DV61" s="300">
        <v>2184.67</v>
      </c>
      <c r="DW61" s="300"/>
      <c r="DZ61" s="298"/>
      <c r="EA61" s="299"/>
      <c r="EB61" s="300" t="s">
        <v>80</v>
      </c>
      <c r="EC61" s="300" t="s">
        <v>790</v>
      </c>
      <c r="ED61" s="301">
        <v>65954.600000000006</v>
      </c>
      <c r="EE61" s="301">
        <v>177059000</v>
      </c>
      <c r="EF61" s="300">
        <v>2113.19</v>
      </c>
      <c r="EG61" s="300">
        <v>13270.3</v>
      </c>
      <c r="EH61" s="300"/>
    </row>
    <row r="62" spans="1:138">
      <c r="B62" s="298"/>
      <c r="C62" s="299"/>
      <c r="D62" s="300" t="s">
        <v>154</v>
      </c>
      <c r="E62" s="300" t="s">
        <v>172</v>
      </c>
      <c r="F62" s="300">
        <v>2070.4499999999998</v>
      </c>
      <c r="G62" s="301">
        <v>5558270</v>
      </c>
      <c r="H62" s="300">
        <v>66.337400000000002</v>
      </c>
      <c r="I62" s="300">
        <v>416.58300000000003</v>
      </c>
      <c r="J62" s="300"/>
      <c r="L62" s="298"/>
      <c r="M62" s="299"/>
      <c r="N62" s="300" t="s">
        <v>154</v>
      </c>
      <c r="O62" s="300" t="s">
        <v>172</v>
      </c>
      <c r="P62" s="300">
        <v>847.36500000000001</v>
      </c>
      <c r="Q62" s="301">
        <v>2274800</v>
      </c>
      <c r="R62" s="301">
        <v>27.1496</v>
      </c>
      <c r="S62" s="301">
        <v>170.49299999999999</v>
      </c>
      <c r="T62" s="300"/>
      <c r="V62" s="298"/>
      <c r="W62" s="299"/>
      <c r="X62" s="300" t="s">
        <v>154</v>
      </c>
      <c r="Y62" s="300" t="s">
        <v>172</v>
      </c>
      <c r="Z62" s="301">
        <v>13736.7</v>
      </c>
      <c r="AA62" s="301">
        <v>36877000</v>
      </c>
      <c r="AB62" s="301">
        <v>440.12299999999999</v>
      </c>
      <c r="AC62" s="301">
        <v>2763.87</v>
      </c>
      <c r="AD62" s="300"/>
      <c r="AF62" s="298"/>
      <c r="AG62" s="299"/>
      <c r="AH62" s="300" t="s">
        <v>154</v>
      </c>
      <c r="AI62" s="300" t="s">
        <v>172</v>
      </c>
      <c r="AJ62" s="301">
        <v>4.7695699999999999</v>
      </c>
      <c r="AK62" s="301">
        <v>12804.2</v>
      </c>
      <c r="AL62" s="301">
        <v>0.15281700000000001</v>
      </c>
      <c r="AM62" s="301">
        <v>0.95965599999999995</v>
      </c>
      <c r="AN62" s="300"/>
      <c r="AP62" s="298"/>
      <c r="AQ62" s="299"/>
      <c r="AR62" s="300" t="s">
        <v>154</v>
      </c>
      <c r="AS62" s="300" t="s">
        <v>172</v>
      </c>
      <c r="AT62" s="300">
        <v>2070.4499999999998</v>
      </c>
      <c r="AU62" s="301">
        <v>5558270</v>
      </c>
      <c r="AV62" s="300">
        <v>66.337400000000002</v>
      </c>
      <c r="AW62" s="300">
        <v>416.58300000000003</v>
      </c>
      <c r="AX62" s="300"/>
      <c r="AY62"/>
      <c r="BA62" s="298"/>
      <c r="BB62" s="299"/>
      <c r="BC62" s="300" t="s">
        <v>154</v>
      </c>
      <c r="BD62" s="300" t="s">
        <v>172</v>
      </c>
      <c r="BE62" s="300">
        <v>847.36500000000001</v>
      </c>
      <c r="BF62" s="301">
        <v>2274800</v>
      </c>
      <c r="BG62" s="301">
        <v>27.1496</v>
      </c>
      <c r="BH62" s="301">
        <v>170.49299999999999</v>
      </c>
      <c r="BI62" s="300"/>
      <c r="BL62" s="298"/>
      <c r="BM62" s="299"/>
      <c r="BN62" s="300" t="s">
        <v>154</v>
      </c>
      <c r="BO62" s="300" t="s">
        <v>172</v>
      </c>
      <c r="BP62" s="301">
        <v>13736.7</v>
      </c>
      <c r="BQ62" s="301">
        <v>36877000</v>
      </c>
      <c r="BR62" s="301">
        <v>440.12299999999999</v>
      </c>
      <c r="BS62" s="301">
        <v>2763.87</v>
      </c>
      <c r="BT62" s="300"/>
      <c r="BW62" s="298"/>
      <c r="BX62" s="299"/>
      <c r="BY62" s="300" t="s">
        <v>154</v>
      </c>
      <c r="BZ62" s="300" t="s">
        <v>172</v>
      </c>
      <c r="CA62" s="301">
        <v>4.7695699999999999</v>
      </c>
      <c r="CB62" s="301">
        <v>12804.2</v>
      </c>
      <c r="CC62" s="301">
        <v>0.15281700000000001</v>
      </c>
      <c r="CD62" s="301">
        <v>0.95965599999999995</v>
      </c>
      <c r="CE62" s="300"/>
      <c r="CH62" s="298"/>
      <c r="CI62" s="299"/>
      <c r="CJ62" s="300" t="s">
        <v>154</v>
      </c>
      <c r="CK62" s="300" t="s">
        <v>172</v>
      </c>
      <c r="CL62" s="300">
        <v>2070.4499999999998</v>
      </c>
      <c r="CM62" s="301">
        <v>5558270</v>
      </c>
      <c r="CN62" s="300">
        <v>66.337400000000002</v>
      </c>
      <c r="CO62" s="300">
        <v>416.58300000000003</v>
      </c>
      <c r="CP62" s="300"/>
      <c r="CS62" s="298"/>
      <c r="CT62" s="299"/>
      <c r="CU62" s="300" t="s">
        <v>154</v>
      </c>
      <c r="CV62" s="300" t="s">
        <v>172</v>
      </c>
      <c r="CW62" s="300">
        <v>847.36500000000001</v>
      </c>
      <c r="CX62" s="301">
        <v>2274800</v>
      </c>
      <c r="CY62" s="301">
        <v>27.1496</v>
      </c>
      <c r="CZ62" s="301">
        <v>170.49299999999999</v>
      </c>
      <c r="DA62" s="300"/>
      <c r="DD62" s="298"/>
      <c r="DE62" s="299"/>
      <c r="DF62" s="300" t="s">
        <v>154</v>
      </c>
      <c r="DG62" s="300" t="s">
        <v>172</v>
      </c>
      <c r="DH62" s="301">
        <v>13736.7</v>
      </c>
      <c r="DI62" s="301">
        <v>36877000</v>
      </c>
      <c r="DJ62" s="301">
        <v>440.12299999999999</v>
      </c>
      <c r="DK62" s="301">
        <v>2763.87</v>
      </c>
      <c r="DL62" s="300"/>
      <c r="DO62" s="298"/>
      <c r="DP62" s="299"/>
      <c r="DQ62" s="300" t="s">
        <v>154</v>
      </c>
      <c r="DR62" s="300" t="s">
        <v>172</v>
      </c>
      <c r="DS62" s="301">
        <v>4.7695699999999999</v>
      </c>
      <c r="DT62" s="301">
        <v>12804.2</v>
      </c>
      <c r="DU62" s="301">
        <v>0.15281700000000001</v>
      </c>
      <c r="DV62" s="301">
        <v>0.95965599999999995</v>
      </c>
      <c r="DW62" s="300"/>
      <c r="DZ62" s="298"/>
      <c r="EA62" s="299"/>
      <c r="EB62" s="300" t="s">
        <v>154</v>
      </c>
      <c r="EC62" s="300" t="s">
        <v>172</v>
      </c>
      <c r="ED62" s="300">
        <v>2070.4499999999998</v>
      </c>
      <c r="EE62" s="301">
        <v>5558270</v>
      </c>
      <c r="EF62" s="300">
        <v>66.337400000000002</v>
      </c>
      <c r="EG62" s="300">
        <v>416.58300000000003</v>
      </c>
      <c r="EH62" s="300"/>
    </row>
    <row r="63" spans="1:138">
      <c r="B63" s="298"/>
      <c r="C63" s="299"/>
      <c r="D63" s="300" t="s">
        <v>126</v>
      </c>
      <c r="E63" s="300" t="s">
        <v>172</v>
      </c>
      <c r="F63" s="300">
        <v>35996.6</v>
      </c>
      <c r="G63" s="301">
        <v>96635300</v>
      </c>
      <c r="H63" s="301">
        <v>1153.33</v>
      </c>
      <c r="I63" s="300">
        <v>7242.66</v>
      </c>
      <c r="J63" s="300"/>
      <c r="L63" s="298"/>
      <c r="M63" s="299"/>
      <c r="N63" s="300" t="s">
        <v>126</v>
      </c>
      <c r="O63" s="300" t="s">
        <v>172</v>
      </c>
      <c r="P63" s="300">
        <v>3633.12</v>
      </c>
      <c r="Q63" s="301">
        <v>9753350</v>
      </c>
      <c r="R63" s="301">
        <v>116.405</v>
      </c>
      <c r="S63" s="300">
        <v>730.99800000000005</v>
      </c>
      <c r="T63" s="300"/>
      <c r="V63" s="298"/>
      <c r="W63" s="299"/>
      <c r="X63" s="300" t="s">
        <v>126</v>
      </c>
      <c r="Y63" s="300" t="s">
        <v>172</v>
      </c>
      <c r="Z63" s="300">
        <v>11144.4</v>
      </c>
      <c r="AA63" s="301">
        <v>29917800</v>
      </c>
      <c r="AB63" s="301">
        <v>357.06700000000001</v>
      </c>
      <c r="AC63" s="300">
        <v>2242.3000000000002</v>
      </c>
      <c r="AD63" s="300"/>
      <c r="AF63" s="298"/>
      <c r="AG63" s="299"/>
      <c r="AH63" s="300" t="s">
        <v>126</v>
      </c>
      <c r="AI63" s="300" t="s">
        <v>172</v>
      </c>
      <c r="AJ63" s="300">
        <v>10153.6</v>
      </c>
      <c r="AK63" s="301">
        <v>27258000</v>
      </c>
      <c r="AL63" s="301">
        <v>325.322</v>
      </c>
      <c r="AM63" s="300">
        <v>2042.95</v>
      </c>
      <c r="AN63" s="300"/>
      <c r="AP63" s="298"/>
      <c r="AQ63" s="299"/>
      <c r="AR63" s="300" t="s">
        <v>126</v>
      </c>
      <c r="AS63" s="300" t="s">
        <v>172</v>
      </c>
      <c r="AT63" s="300">
        <v>35996.6</v>
      </c>
      <c r="AU63" s="301">
        <v>96635300</v>
      </c>
      <c r="AV63" s="301">
        <v>1153.33</v>
      </c>
      <c r="AW63" s="300">
        <v>7242.66</v>
      </c>
      <c r="AX63" s="300"/>
      <c r="AY63"/>
      <c r="BA63" s="298"/>
      <c r="BB63" s="299"/>
      <c r="BC63" s="300" t="s">
        <v>126</v>
      </c>
      <c r="BD63" s="300" t="s">
        <v>172</v>
      </c>
      <c r="BE63" s="300">
        <v>3633.12</v>
      </c>
      <c r="BF63" s="301">
        <v>9753350</v>
      </c>
      <c r="BG63" s="301">
        <v>116.405</v>
      </c>
      <c r="BH63" s="300">
        <v>730.99800000000005</v>
      </c>
      <c r="BI63" s="300"/>
      <c r="BL63" s="298"/>
      <c r="BM63" s="299"/>
      <c r="BN63" s="300" t="s">
        <v>126</v>
      </c>
      <c r="BO63" s="300" t="s">
        <v>172</v>
      </c>
      <c r="BP63" s="300">
        <v>11144.4</v>
      </c>
      <c r="BQ63" s="301">
        <v>29917800</v>
      </c>
      <c r="BR63" s="301">
        <v>357.06700000000001</v>
      </c>
      <c r="BS63" s="300">
        <v>2242.3000000000002</v>
      </c>
      <c r="BT63" s="300"/>
      <c r="BW63" s="298"/>
      <c r="BX63" s="299"/>
      <c r="BY63" s="300" t="s">
        <v>126</v>
      </c>
      <c r="BZ63" s="300" t="s">
        <v>172</v>
      </c>
      <c r="CA63" s="300">
        <v>10153.6</v>
      </c>
      <c r="CB63" s="301">
        <v>27258000</v>
      </c>
      <c r="CC63" s="301">
        <v>325.322</v>
      </c>
      <c r="CD63" s="300">
        <v>2042.95</v>
      </c>
      <c r="CE63" s="300"/>
      <c r="CH63" s="298"/>
      <c r="CI63" s="299"/>
      <c r="CJ63" s="300" t="s">
        <v>126</v>
      </c>
      <c r="CK63" s="300" t="s">
        <v>172</v>
      </c>
      <c r="CL63" s="300">
        <v>35996.6</v>
      </c>
      <c r="CM63" s="301">
        <v>96635300</v>
      </c>
      <c r="CN63" s="301">
        <v>1153.33</v>
      </c>
      <c r="CO63" s="300">
        <v>7242.66</v>
      </c>
      <c r="CP63" s="300"/>
      <c r="CS63" s="298"/>
      <c r="CT63" s="299"/>
      <c r="CU63" s="300" t="s">
        <v>126</v>
      </c>
      <c r="CV63" s="300" t="s">
        <v>172</v>
      </c>
      <c r="CW63" s="300">
        <v>3633.12</v>
      </c>
      <c r="CX63" s="301">
        <v>9753350</v>
      </c>
      <c r="CY63" s="301">
        <v>116.405</v>
      </c>
      <c r="CZ63" s="300">
        <v>730.99800000000005</v>
      </c>
      <c r="DA63" s="300"/>
      <c r="DD63" s="298"/>
      <c r="DE63" s="299"/>
      <c r="DF63" s="300" t="s">
        <v>126</v>
      </c>
      <c r="DG63" s="300" t="s">
        <v>172</v>
      </c>
      <c r="DH63" s="300">
        <v>11144.4</v>
      </c>
      <c r="DI63" s="301">
        <v>29917800</v>
      </c>
      <c r="DJ63" s="301">
        <v>357.06700000000001</v>
      </c>
      <c r="DK63" s="300">
        <v>2242.3000000000002</v>
      </c>
      <c r="DL63" s="300"/>
      <c r="DO63" s="298"/>
      <c r="DP63" s="299"/>
      <c r="DQ63" s="300" t="s">
        <v>126</v>
      </c>
      <c r="DR63" s="300" t="s">
        <v>172</v>
      </c>
      <c r="DS63" s="300">
        <v>10153.6</v>
      </c>
      <c r="DT63" s="301">
        <v>27258000</v>
      </c>
      <c r="DU63" s="301">
        <v>325.322</v>
      </c>
      <c r="DV63" s="300">
        <v>2042.95</v>
      </c>
      <c r="DW63" s="300"/>
      <c r="DZ63" s="298"/>
      <c r="EA63" s="299"/>
      <c r="EB63" s="300" t="s">
        <v>126</v>
      </c>
      <c r="EC63" s="300" t="s">
        <v>172</v>
      </c>
      <c r="ED63" s="300">
        <v>35996.6</v>
      </c>
      <c r="EE63" s="301">
        <v>96635300</v>
      </c>
      <c r="EF63" s="301">
        <v>1153.33</v>
      </c>
      <c r="EG63" s="300">
        <v>7242.66</v>
      </c>
      <c r="EH63" s="300"/>
    </row>
    <row r="64" spans="1:138">
      <c r="B64" s="298"/>
      <c r="C64" s="299"/>
      <c r="D64" s="300" t="s">
        <v>156</v>
      </c>
      <c r="E64" s="300" t="s">
        <v>172</v>
      </c>
      <c r="F64" s="300">
        <v>37429.4</v>
      </c>
      <c r="G64" s="301">
        <v>100482000</v>
      </c>
      <c r="H64" s="301">
        <v>1199.24</v>
      </c>
      <c r="I64" s="300">
        <v>7530.94</v>
      </c>
      <c r="J64" s="300"/>
      <c r="L64" s="298"/>
      <c r="M64" s="299"/>
      <c r="N64" s="300" t="s">
        <v>156</v>
      </c>
      <c r="O64" s="300" t="s">
        <v>172</v>
      </c>
      <c r="P64" s="300">
        <v>34542.6</v>
      </c>
      <c r="Q64" s="301">
        <v>92731700</v>
      </c>
      <c r="R64" s="301">
        <v>1106.74</v>
      </c>
      <c r="S64" s="300">
        <v>6950.1</v>
      </c>
      <c r="T64" s="300"/>
      <c r="V64" s="298"/>
      <c r="W64" s="299"/>
      <c r="X64" s="300" t="s">
        <v>156</v>
      </c>
      <c r="Y64" s="300" t="s">
        <v>172</v>
      </c>
      <c r="Z64" s="300">
        <v>32411.8</v>
      </c>
      <c r="AA64" s="301">
        <v>87011500</v>
      </c>
      <c r="AB64" s="301">
        <v>1038.47</v>
      </c>
      <c r="AC64" s="300">
        <v>6521.37</v>
      </c>
      <c r="AD64" s="300"/>
      <c r="AF64" s="298"/>
      <c r="AG64" s="299"/>
      <c r="AH64" s="300" t="s">
        <v>156</v>
      </c>
      <c r="AI64" s="300" t="s">
        <v>172</v>
      </c>
      <c r="AJ64" s="300">
        <v>39491.9</v>
      </c>
      <c r="AK64" s="301">
        <v>106018000</v>
      </c>
      <c r="AL64" s="301">
        <v>1265.32</v>
      </c>
      <c r="AM64" s="300">
        <v>7945.92</v>
      </c>
      <c r="AN64" s="300"/>
      <c r="AP64" s="298"/>
      <c r="AQ64" s="299"/>
      <c r="AR64" s="300" t="s">
        <v>156</v>
      </c>
      <c r="AS64" s="300" t="s">
        <v>172</v>
      </c>
      <c r="AT64" s="300">
        <v>37429.4</v>
      </c>
      <c r="AU64" s="301">
        <v>100482000</v>
      </c>
      <c r="AV64" s="301">
        <v>1199.24</v>
      </c>
      <c r="AW64" s="300">
        <v>7530.94</v>
      </c>
      <c r="AX64" s="300"/>
      <c r="AY64"/>
      <c r="BA64" s="298"/>
      <c r="BB64" s="299"/>
      <c r="BC64" s="300" t="s">
        <v>156</v>
      </c>
      <c r="BD64" s="300" t="s">
        <v>172</v>
      </c>
      <c r="BE64" s="300">
        <v>34542.6</v>
      </c>
      <c r="BF64" s="301">
        <v>92731700</v>
      </c>
      <c r="BG64" s="301">
        <v>1106.74</v>
      </c>
      <c r="BH64" s="300">
        <v>6950.1</v>
      </c>
      <c r="BI64" s="300"/>
      <c r="BL64" s="298"/>
      <c r="BM64" s="299"/>
      <c r="BN64" s="300" t="s">
        <v>156</v>
      </c>
      <c r="BO64" s="300" t="s">
        <v>172</v>
      </c>
      <c r="BP64" s="300">
        <v>32411.8</v>
      </c>
      <c r="BQ64" s="301">
        <v>87011500</v>
      </c>
      <c r="BR64" s="301">
        <v>1038.47</v>
      </c>
      <c r="BS64" s="300">
        <v>6521.37</v>
      </c>
      <c r="BT64" s="300"/>
      <c r="BW64" s="298"/>
      <c r="BX64" s="299"/>
      <c r="BY64" s="300" t="s">
        <v>156</v>
      </c>
      <c r="BZ64" s="300" t="s">
        <v>172</v>
      </c>
      <c r="CA64" s="300">
        <v>39491.9</v>
      </c>
      <c r="CB64" s="301">
        <v>106018000</v>
      </c>
      <c r="CC64" s="301">
        <v>1265.32</v>
      </c>
      <c r="CD64" s="300">
        <v>7945.92</v>
      </c>
      <c r="CE64" s="300"/>
      <c r="CH64" s="298"/>
      <c r="CI64" s="299"/>
      <c r="CJ64" s="300" t="s">
        <v>156</v>
      </c>
      <c r="CK64" s="300" t="s">
        <v>172</v>
      </c>
      <c r="CL64" s="300">
        <v>37429.4</v>
      </c>
      <c r="CM64" s="301">
        <v>100482000</v>
      </c>
      <c r="CN64" s="301">
        <v>1199.24</v>
      </c>
      <c r="CO64" s="300">
        <v>7530.94</v>
      </c>
      <c r="CP64" s="300"/>
      <c r="CS64" s="298"/>
      <c r="CT64" s="299"/>
      <c r="CU64" s="300" t="s">
        <v>156</v>
      </c>
      <c r="CV64" s="300" t="s">
        <v>172</v>
      </c>
      <c r="CW64" s="300">
        <v>34542.6</v>
      </c>
      <c r="CX64" s="301">
        <v>92731700</v>
      </c>
      <c r="CY64" s="301">
        <v>1106.74</v>
      </c>
      <c r="CZ64" s="300">
        <v>6950.1</v>
      </c>
      <c r="DA64" s="300"/>
      <c r="DD64" s="298"/>
      <c r="DE64" s="299"/>
      <c r="DF64" s="300" t="s">
        <v>156</v>
      </c>
      <c r="DG64" s="300" t="s">
        <v>172</v>
      </c>
      <c r="DH64" s="300">
        <v>32411.8</v>
      </c>
      <c r="DI64" s="301">
        <v>87011500</v>
      </c>
      <c r="DJ64" s="301">
        <v>1038.47</v>
      </c>
      <c r="DK64" s="300">
        <v>6521.37</v>
      </c>
      <c r="DL64" s="300"/>
      <c r="DO64" s="298"/>
      <c r="DP64" s="299"/>
      <c r="DQ64" s="300" t="s">
        <v>156</v>
      </c>
      <c r="DR64" s="300" t="s">
        <v>172</v>
      </c>
      <c r="DS64" s="300">
        <v>39491.9</v>
      </c>
      <c r="DT64" s="301">
        <v>106018000</v>
      </c>
      <c r="DU64" s="301">
        <v>1265.32</v>
      </c>
      <c r="DV64" s="300">
        <v>7945.92</v>
      </c>
      <c r="DW64" s="300"/>
      <c r="DZ64" s="298"/>
      <c r="EA64" s="299"/>
      <c r="EB64" s="300" t="s">
        <v>156</v>
      </c>
      <c r="EC64" s="300" t="s">
        <v>172</v>
      </c>
      <c r="ED64" s="300">
        <v>37429.4</v>
      </c>
      <c r="EE64" s="301">
        <v>100482000</v>
      </c>
      <c r="EF64" s="301">
        <v>1199.24</v>
      </c>
      <c r="EG64" s="300">
        <v>7530.94</v>
      </c>
      <c r="EH64" s="300"/>
    </row>
    <row r="65" spans="2:138">
      <c r="B65" s="298"/>
      <c r="C65" s="299"/>
      <c r="D65" s="300"/>
      <c r="E65" s="300"/>
      <c r="F65" s="301"/>
      <c r="G65" s="301"/>
      <c r="H65" s="301"/>
      <c r="I65" s="301"/>
      <c r="J65" s="300"/>
      <c r="L65" s="298"/>
      <c r="M65" s="299"/>
      <c r="N65" s="300"/>
      <c r="O65" s="300"/>
      <c r="P65" s="301"/>
      <c r="Q65" s="301"/>
      <c r="R65" s="301"/>
      <c r="S65" s="301"/>
      <c r="T65" s="300"/>
      <c r="V65" s="298"/>
      <c r="W65" s="299"/>
      <c r="X65" s="300"/>
      <c r="Y65" s="300"/>
      <c r="Z65" s="301"/>
      <c r="AA65" s="301"/>
      <c r="AB65" s="301"/>
      <c r="AC65" s="301"/>
      <c r="AD65" s="300"/>
      <c r="AF65" s="298"/>
      <c r="AG65" s="299"/>
      <c r="AH65" s="300"/>
      <c r="AI65" s="300"/>
      <c r="AJ65" s="301"/>
      <c r="AK65" s="301"/>
      <c r="AL65" s="301"/>
      <c r="AM65" s="301"/>
      <c r="AN65" s="300"/>
      <c r="AP65" s="298"/>
      <c r="AQ65" s="299"/>
      <c r="AR65" s="300"/>
      <c r="AS65" s="300"/>
      <c r="AT65" s="301"/>
      <c r="AU65" s="301"/>
      <c r="AV65" s="301"/>
      <c r="AW65" s="301"/>
      <c r="AX65" s="300"/>
      <c r="AY65"/>
      <c r="BA65" s="298"/>
      <c r="BB65" s="299"/>
      <c r="BC65" s="300"/>
      <c r="BD65" s="300"/>
      <c r="BE65" s="301"/>
      <c r="BF65" s="301"/>
      <c r="BG65" s="301"/>
      <c r="BH65" s="301"/>
      <c r="BI65" s="300"/>
      <c r="BL65" s="298"/>
      <c r="BM65" s="299"/>
      <c r="BN65" s="300"/>
      <c r="BO65" s="300"/>
      <c r="BP65" s="301"/>
      <c r="BQ65" s="301"/>
      <c r="BR65" s="301"/>
      <c r="BS65" s="301"/>
      <c r="BT65" s="300"/>
      <c r="BW65" s="298"/>
      <c r="BX65" s="299"/>
      <c r="BY65" s="300"/>
      <c r="BZ65" s="300"/>
      <c r="CA65" s="301"/>
      <c r="CB65" s="301"/>
      <c r="CC65" s="301"/>
      <c r="CD65" s="301"/>
      <c r="CE65" s="300"/>
      <c r="CH65" s="298"/>
      <c r="CI65" s="299"/>
      <c r="CJ65" s="300"/>
      <c r="CK65" s="300"/>
      <c r="CL65" s="301"/>
      <c r="CM65" s="301"/>
      <c r="CN65" s="301"/>
      <c r="CO65" s="301"/>
      <c r="CP65" s="300"/>
      <c r="CS65" s="298"/>
      <c r="CT65" s="299"/>
      <c r="CU65" s="300"/>
      <c r="CV65" s="300"/>
      <c r="CW65" s="301"/>
      <c r="CX65" s="301"/>
      <c r="CY65" s="301"/>
      <c r="CZ65" s="301"/>
      <c r="DA65" s="300"/>
      <c r="DD65" s="298"/>
      <c r="DE65" s="299"/>
      <c r="DF65" s="300"/>
      <c r="DG65" s="300"/>
      <c r="DH65" s="301"/>
      <c r="DI65" s="301"/>
      <c r="DJ65" s="301"/>
      <c r="DK65" s="301"/>
      <c r="DL65" s="300"/>
      <c r="DO65" s="298"/>
      <c r="DP65" s="299"/>
      <c r="DQ65" s="300"/>
      <c r="DR65" s="300"/>
      <c r="DS65" s="301"/>
      <c r="DT65" s="301"/>
      <c r="DU65" s="301"/>
      <c r="DV65" s="301"/>
      <c r="DW65" s="300"/>
      <c r="DZ65" s="298"/>
      <c r="EA65" s="299"/>
      <c r="EB65" s="300"/>
      <c r="EC65" s="300"/>
      <c r="ED65" s="301"/>
      <c r="EE65" s="301"/>
      <c r="EF65" s="301"/>
      <c r="EG65" s="301"/>
      <c r="EH65" s="300"/>
    </row>
    <row r="66" spans="2:138">
      <c r="B66" s="298"/>
      <c r="C66" s="299"/>
      <c r="D66" s="300"/>
      <c r="E66" s="300"/>
      <c r="F66" s="301"/>
      <c r="G66" s="301"/>
      <c r="H66" s="301"/>
      <c r="I66" s="301"/>
      <c r="J66" s="300"/>
      <c r="L66" s="298"/>
      <c r="M66" s="299"/>
      <c r="N66" s="300"/>
      <c r="O66" s="300"/>
      <c r="P66" s="301"/>
      <c r="Q66" s="301"/>
      <c r="R66" s="301"/>
      <c r="S66" s="301"/>
      <c r="T66" s="300"/>
      <c r="V66" s="298"/>
      <c r="W66" s="299"/>
      <c r="X66" s="300"/>
      <c r="Y66" s="300"/>
      <c r="Z66" s="301"/>
      <c r="AA66" s="301"/>
      <c r="AB66" s="301"/>
      <c r="AC66" s="301"/>
      <c r="AD66" s="300"/>
      <c r="AF66" s="298"/>
      <c r="AG66" s="299"/>
      <c r="AH66" s="300"/>
      <c r="AI66" s="300"/>
      <c r="AJ66" s="301"/>
      <c r="AK66" s="301"/>
      <c r="AL66" s="301"/>
      <c r="AM66" s="301"/>
      <c r="AN66" s="300"/>
      <c r="AP66" s="298"/>
      <c r="AQ66" s="299"/>
      <c r="AR66" s="300"/>
      <c r="AS66" s="300"/>
      <c r="AT66" s="301"/>
      <c r="AU66" s="301"/>
      <c r="AV66" s="301"/>
      <c r="AW66" s="301"/>
      <c r="AX66" s="300"/>
      <c r="AY66"/>
      <c r="BA66" s="298"/>
      <c r="BB66" s="299"/>
      <c r="BC66" s="300"/>
      <c r="BD66" s="300"/>
      <c r="BE66" s="301"/>
      <c r="BF66" s="301"/>
      <c r="BG66" s="301"/>
      <c r="BH66" s="301"/>
      <c r="BI66" s="300"/>
      <c r="BL66" s="298"/>
      <c r="BM66" s="299"/>
      <c r="BN66" s="300"/>
      <c r="BO66" s="300"/>
      <c r="BP66" s="301"/>
      <c r="BQ66" s="301"/>
      <c r="BR66" s="301"/>
      <c r="BS66" s="301"/>
      <c r="BT66" s="300"/>
      <c r="BW66" s="298"/>
      <c r="BX66" s="299"/>
      <c r="BY66" s="300"/>
      <c r="BZ66" s="300"/>
      <c r="CA66" s="301"/>
      <c r="CB66" s="301"/>
      <c r="CC66" s="301"/>
      <c r="CD66" s="301"/>
      <c r="CE66" s="300"/>
      <c r="CH66" s="298"/>
      <c r="CI66" s="299"/>
      <c r="CJ66" s="300"/>
      <c r="CK66" s="300"/>
      <c r="CL66" s="301"/>
      <c r="CM66" s="301"/>
      <c r="CN66" s="301"/>
      <c r="CO66" s="301"/>
      <c r="CP66" s="300"/>
      <c r="CS66" s="298"/>
      <c r="CT66" s="299"/>
      <c r="CU66" s="300"/>
      <c r="CV66" s="300"/>
      <c r="CW66" s="301"/>
      <c r="CX66" s="301"/>
      <c r="CY66" s="301"/>
      <c r="CZ66" s="301"/>
      <c r="DA66" s="300"/>
      <c r="DD66" s="298"/>
      <c r="DE66" s="299"/>
      <c r="DF66" s="300"/>
      <c r="DG66" s="300"/>
      <c r="DH66" s="301"/>
      <c r="DI66" s="301"/>
      <c r="DJ66" s="301"/>
      <c r="DK66" s="301"/>
      <c r="DL66" s="300"/>
      <c r="DO66" s="298"/>
      <c r="DP66" s="299"/>
      <c r="DQ66" s="300"/>
      <c r="DR66" s="300"/>
      <c r="DS66" s="301"/>
      <c r="DT66" s="301"/>
      <c r="DU66" s="301"/>
      <c r="DV66" s="301"/>
      <c r="DW66" s="300"/>
      <c r="DZ66" s="298"/>
      <c r="EA66" s="299"/>
      <c r="EB66" s="300"/>
      <c r="EC66" s="300"/>
      <c r="ED66" s="301"/>
      <c r="EE66" s="301"/>
      <c r="EF66" s="301"/>
      <c r="EG66" s="301"/>
      <c r="EH66" s="300"/>
    </row>
    <row r="67" spans="2:138">
      <c r="AP67"/>
      <c r="AQ67"/>
      <c r="AR67"/>
      <c r="AS67"/>
      <c r="AT67"/>
      <c r="AU67"/>
      <c r="AV67"/>
      <c r="AW67"/>
      <c r="AX67"/>
      <c r="AY67"/>
    </row>
    <row r="68" spans="2:138">
      <c r="X68">
        <v>21089830.699999999</v>
      </c>
      <c r="AP68"/>
      <c r="AQ68"/>
      <c r="AR68"/>
      <c r="AS68"/>
      <c r="AT68"/>
      <c r="AU68"/>
      <c r="AV68"/>
      <c r="AW68"/>
      <c r="AX68"/>
      <c r="AY68"/>
    </row>
    <row r="69" spans="2:138">
      <c r="V69"/>
      <c r="X69">
        <v>2776154.59</v>
      </c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P69"/>
      <c r="AQ69"/>
      <c r="AR69"/>
      <c r="AS69"/>
      <c r="AT69"/>
      <c r="AU69"/>
      <c r="AV69"/>
      <c r="AW69"/>
      <c r="AX69"/>
      <c r="AY69"/>
    </row>
    <row r="70" spans="2:138" ht="26.25">
      <c r="V70"/>
      <c r="X70" s="293">
        <f>X68-X69</f>
        <v>18313676.109999999</v>
      </c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P70"/>
      <c r="AQ70"/>
      <c r="AR70"/>
      <c r="AS70"/>
      <c r="AT70"/>
      <c r="AU70"/>
      <c r="AV70"/>
      <c r="AW70"/>
      <c r="AX70"/>
      <c r="AY70"/>
    </row>
    <row r="71" spans="2:138" ht="26.25">
      <c r="B71" s="311" t="s">
        <v>1183</v>
      </c>
      <c r="C71" s="293"/>
      <c r="D71" s="293"/>
      <c r="E71" s="293"/>
      <c r="F71" s="293"/>
      <c r="G71" s="293"/>
      <c r="H71" s="293"/>
      <c r="I71" s="293"/>
      <c r="J71" s="293"/>
      <c r="L71" s="311" t="s">
        <v>1185</v>
      </c>
      <c r="M71" s="293"/>
      <c r="N71" s="293"/>
      <c r="O71" s="293"/>
      <c r="P71" s="293"/>
      <c r="Q71" s="293"/>
      <c r="R71" s="293"/>
      <c r="S71" s="293"/>
      <c r="T71" s="293"/>
      <c r="V71" s="311" t="s">
        <v>1187</v>
      </c>
      <c r="X71" s="293"/>
      <c r="Y71" s="293"/>
      <c r="Z71" s="293"/>
      <c r="AA71" s="293"/>
      <c r="AB71" s="293"/>
      <c r="AC71" s="293"/>
      <c r="AD71" s="293"/>
      <c r="AE71"/>
      <c r="AF71" s="311" t="s">
        <v>1155</v>
      </c>
      <c r="AG71" s="293"/>
      <c r="AH71" s="293"/>
      <c r="AI71" s="293"/>
      <c r="AJ71" s="293"/>
      <c r="AK71" s="293"/>
      <c r="AL71" s="293"/>
      <c r="AM71" s="293"/>
      <c r="AN71" s="293"/>
      <c r="AP71" s="311" t="s">
        <v>1156</v>
      </c>
      <c r="AQ71" s="293"/>
      <c r="AR71" s="293"/>
      <c r="AS71" s="293"/>
      <c r="AT71" s="293"/>
      <c r="AU71" s="293"/>
      <c r="AV71" s="293"/>
      <c r="AW71" s="293"/>
      <c r="AX71" s="293"/>
      <c r="AY71"/>
      <c r="BA71" s="311" t="s">
        <v>1157</v>
      </c>
      <c r="BB71" s="293"/>
      <c r="BC71" s="293"/>
      <c r="BD71" s="293"/>
      <c r="BE71" s="293"/>
      <c r="BF71" s="293"/>
      <c r="BG71" s="293"/>
      <c r="BH71" s="293"/>
      <c r="BI71" s="293"/>
      <c r="BL71" s="311" t="s">
        <v>1158</v>
      </c>
      <c r="BM71" s="293"/>
      <c r="BN71" s="293"/>
      <c r="BO71" s="293"/>
      <c r="BP71" s="293"/>
      <c r="BQ71" s="293"/>
      <c r="BR71" s="293"/>
      <c r="BS71" s="293"/>
      <c r="BT71" s="293"/>
      <c r="BW71" s="311" t="s">
        <v>1159</v>
      </c>
      <c r="BX71" s="293"/>
      <c r="BY71" s="293"/>
      <c r="BZ71" s="293"/>
      <c r="CA71" s="293"/>
      <c r="CB71" s="293"/>
      <c r="CC71" s="293"/>
      <c r="CD71" s="293"/>
      <c r="CE71" s="293"/>
      <c r="CH71" s="311" t="s">
        <v>1160</v>
      </c>
      <c r="CI71" s="293"/>
      <c r="CJ71" s="293"/>
      <c r="CK71" s="293"/>
      <c r="CL71" s="293"/>
      <c r="CM71" s="293"/>
      <c r="CN71" s="293"/>
      <c r="CO71" s="293"/>
      <c r="CP71" s="293"/>
      <c r="CS71" s="311" t="s">
        <v>1161</v>
      </c>
      <c r="CT71" s="293"/>
      <c r="CU71" s="293"/>
      <c r="CV71" s="293"/>
      <c r="CW71" s="293"/>
      <c r="CX71" s="293"/>
      <c r="CY71" s="293"/>
      <c r="CZ71" s="293"/>
      <c r="DA71" s="293"/>
      <c r="DD71" s="311" t="s">
        <v>1162</v>
      </c>
      <c r="DE71" s="293"/>
      <c r="DF71" s="293"/>
      <c r="DG71" s="293"/>
      <c r="DH71" s="293"/>
      <c r="DI71" s="293"/>
      <c r="DJ71" s="293"/>
      <c r="DK71" s="293"/>
      <c r="DL71" s="293"/>
      <c r="DO71" s="311" t="s">
        <v>1163</v>
      </c>
      <c r="DP71" s="293"/>
      <c r="DQ71" s="293"/>
      <c r="DR71" s="293"/>
      <c r="DS71" s="293"/>
      <c r="DT71" s="293"/>
      <c r="DU71" s="293"/>
      <c r="DV71" s="293"/>
      <c r="DW71" s="293"/>
    </row>
    <row r="72" spans="2:138">
      <c r="B72" s="294" t="s">
        <v>782</v>
      </c>
      <c r="C72" s="295"/>
      <c r="D72" s="296" t="s">
        <v>175</v>
      </c>
      <c r="E72" s="296" t="s">
        <v>176</v>
      </c>
      <c r="F72" s="296" t="s">
        <v>177</v>
      </c>
      <c r="G72" s="296" t="s">
        <v>178</v>
      </c>
      <c r="H72" s="296" t="s">
        <v>179</v>
      </c>
      <c r="I72" s="296" t="s">
        <v>180</v>
      </c>
      <c r="J72" s="296"/>
      <c r="L72" s="294" t="s">
        <v>782</v>
      </c>
      <c r="M72" s="295"/>
      <c r="N72" s="296" t="s">
        <v>175</v>
      </c>
      <c r="O72" s="296" t="s">
        <v>176</v>
      </c>
      <c r="P72" s="296" t="s">
        <v>177</v>
      </c>
      <c r="Q72" s="296" t="s">
        <v>178</v>
      </c>
      <c r="R72" s="296" t="s">
        <v>179</v>
      </c>
      <c r="S72" s="296" t="s">
        <v>180</v>
      </c>
      <c r="T72" s="296"/>
      <c r="V72" s="294" t="s">
        <v>782</v>
      </c>
      <c r="W72" s="295"/>
      <c r="X72" s="296" t="s">
        <v>175</v>
      </c>
      <c r="Y72" s="296" t="s">
        <v>176</v>
      </c>
      <c r="Z72" s="296" t="s">
        <v>177</v>
      </c>
      <c r="AA72" s="296" t="s">
        <v>178</v>
      </c>
      <c r="AB72" s="296" t="s">
        <v>179</v>
      </c>
      <c r="AC72" s="296" t="s">
        <v>180</v>
      </c>
      <c r="AD72" s="296"/>
      <c r="AF72" s="294" t="s">
        <v>782</v>
      </c>
      <c r="AG72" s="295"/>
      <c r="AH72" s="296" t="s">
        <v>175</v>
      </c>
      <c r="AI72" s="296" t="s">
        <v>176</v>
      </c>
      <c r="AJ72" s="296" t="s">
        <v>177</v>
      </c>
      <c r="AK72" s="296" t="s">
        <v>178</v>
      </c>
      <c r="AL72" s="296" t="s">
        <v>179</v>
      </c>
      <c r="AM72" s="296" t="s">
        <v>180</v>
      </c>
      <c r="AN72" s="296"/>
      <c r="AP72" s="294" t="s">
        <v>782</v>
      </c>
      <c r="AQ72" s="295"/>
      <c r="AR72" s="296" t="s">
        <v>175</v>
      </c>
      <c r="AS72" s="296" t="s">
        <v>176</v>
      </c>
      <c r="AT72" s="296" t="s">
        <v>177</v>
      </c>
      <c r="AU72" s="296" t="s">
        <v>178</v>
      </c>
      <c r="AV72" s="296" t="s">
        <v>179</v>
      </c>
      <c r="AW72" s="296" t="s">
        <v>180</v>
      </c>
      <c r="AX72" s="296"/>
      <c r="AY72"/>
      <c r="BA72" s="294" t="s">
        <v>782</v>
      </c>
      <c r="BB72" s="295"/>
      <c r="BC72" s="296" t="s">
        <v>175</v>
      </c>
      <c r="BD72" s="296" t="s">
        <v>176</v>
      </c>
      <c r="BE72" s="296" t="s">
        <v>177</v>
      </c>
      <c r="BF72" s="296" t="s">
        <v>178</v>
      </c>
      <c r="BG72" s="296" t="s">
        <v>179</v>
      </c>
      <c r="BH72" s="296" t="s">
        <v>180</v>
      </c>
      <c r="BI72" s="296"/>
      <c r="BL72" s="294" t="s">
        <v>782</v>
      </c>
      <c r="BM72" s="295"/>
      <c r="BN72" s="296" t="s">
        <v>175</v>
      </c>
      <c r="BO72" s="296" t="s">
        <v>176</v>
      </c>
      <c r="BP72" s="296" t="s">
        <v>177</v>
      </c>
      <c r="BQ72" s="296" t="s">
        <v>178</v>
      </c>
      <c r="BR72" s="296" t="s">
        <v>179</v>
      </c>
      <c r="BS72" s="296" t="s">
        <v>180</v>
      </c>
      <c r="BT72" s="296"/>
      <c r="BW72" s="294" t="s">
        <v>782</v>
      </c>
      <c r="BX72" s="295"/>
      <c r="BY72" s="296" t="s">
        <v>175</v>
      </c>
      <c r="BZ72" s="296" t="s">
        <v>176</v>
      </c>
      <c r="CA72" s="296" t="s">
        <v>177</v>
      </c>
      <c r="CB72" s="296" t="s">
        <v>178</v>
      </c>
      <c r="CC72" s="296" t="s">
        <v>179</v>
      </c>
      <c r="CD72" s="296" t="s">
        <v>180</v>
      </c>
      <c r="CE72" s="296"/>
      <c r="CH72" s="294" t="s">
        <v>782</v>
      </c>
      <c r="CI72" s="295"/>
      <c r="CJ72" s="296" t="s">
        <v>175</v>
      </c>
      <c r="CK72" s="296" t="s">
        <v>176</v>
      </c>
      <c r="CL72" s="296" t="s">
        <v>177</v>
      </c>
      <c r="CM72" s="296" t="s">
        <v>178</v>
      </c>
      <c r="CN72" s="296" t="s">
        <v>179</v>
      </c>
      <c r="CO72" s="296" t="s">
        <v>180</v>
      </c>
      <c r="CP72" s="296"/>
      <c r="CS72" s="294" t="s">
        <v>782</v>
      </c>
      <c r="CT72" s="295"/>
      <c r="CU72" s="296" t="s">
        <v>175</v>
      </c>
      <c r="CV72" s="296" t="s">
        <v>176</v>
      </c>
      <c r="CW72" s="296" t="s">
        <v>177</v>
      </c>
      <c r="CX72" s="296" t="s">
        <v>178</v>
      </c>
      <c r="CY72" s="296" t="s">
        <v>179</v>
      </c>
      <c r="CZ72" s="296" t="s">
        <v>180</v>
      </c>
      <c r="DA72" s="296"/>
      <c r="DD72" s="294" t="s">
        <v>782</v>
      </c>
      <c r="DE72" s="295"/>
      <c r="DF72" s="296" t="s">
        <v>175</v>
      </c>
      <c r="DG72" s="296" t="s">
        <v>176</v>
      </c>
      <c r="DH72" s="296" t="s">
        <v>177</v>
      </c>
      <c r="DI72" s="296" t="s">
        <v>178</v>
      </c>
      <c r="DJ72" s="296" t="s">
        <v>179</v>
      </c>
      <c r="DK72" s="296" t="s">
        <v>180</v>
      </c>
      <c r="DL72" s="296"/>
      <c r="DO72" s="294" t="s">
        <v>782</v>
      </c>
      <c r="DP72" s="295"/>
      <c r="DQ72" s="296" t="s">
        <v>175</v>
      </c>
      <c r="DR72" s="296" t="s">
        <v>176</v>
      </c>
      <c r="DS72" s="296" t="s">
        <v>177</v>
      </c>
      <c r="DT72" s="296" t="s">
        <v>178</v>
      </c>
      <c r="DU72" s="296" t="s">
        <v>179</v>
      </c>
      <c r="DV72" s="296" t="s">
        <v>180</v>
      </c>
      <c r="DW72" s="296"/>
    </row>
    <row r="73" spans="2:138">
      <c r="B73" s="294">
        <f>SUM(G74:G82)</f>
        <v>201731.47756</v>
      </c>
      <c r="C73" s="295" t="s">
        <v>783</v>
      </c>
      <c r="D73" s="296"/>
      <c r="E73" s="296"/>
      <c r="F73" s="296" t="s">
        <v>181</v>
      </c>
      <c r="G73" s="296" t="s">
        <v>787</v>
      </c>
      <c r="H73" s="296" t="s">
        <v>86</v>
      </c>
      <c r="I73" s="296"/>
      <c r="J73" s="296"/>
      <c r="L73" s="294">
        <f>SUM(Q74:Q82)</f>
        <v>69354.823399999994</v>
      </c>
      <c r="M73" s="295" t="s">
        <v>783</v>
      </c>
      <c r="N73" s="296"/>
      <c r="O73" s="296"/>
      <c r="P73" s="296" t="s">
        <v>181</v>
      </c>
      <c r="Q73" s="296" t="s">
        <v>787</v>
      </c>
      <c r="R73" s="296" t="s">
        <v>86</v>
      </c>
      <c r="S73" s="296"/>
      <c r="T73" s="296"/>
      <c r="V73" s="294">
        <f>SUM(AA74:AA82)</f>
        <v>142032.07119999998</v>
      </c>
      <c r="W73" s="295" t="s">
        <v>783</v>
      </c>
      <c r="X73" s="296"/>
      <c r="Y73" s="296"/>
      <c r="Z73" s="296" t="s">
        <v>181</v>
      </c>
      <c r="AA73" s="296" t="s">
        <v>787</v>
      </c>
      <c r="AB73" s="296" t="s">
        <v>86</v>
      </c>
      <c r="AC73" s="296"/>
      <c r="AD73" s="296"/>
      <c r="AF73" s="294">
        <f>SUM(AK74:AK82)</f>
        <v>559665.30000000005</v>
      </c>
      <c r="AG73" s="295" t="s">
        <v>783</v>
      </c>
      <c r="AH73" s="296"/>
      <c r="AI73" s="296"/>
      <c r="AJ73" s="296" t="s">
        <v>181</v>
      </c>
      <c r="AK73" s="296" t="s">
        <v>787</v>
      </c>
      <c r="AL73" s="296" t="s">
        <v>86</v>
      </c>
      <c r="AM73" s="296"/>
      <c r="AN73" s="296"/>
      <c r="AP73" s="294">
        <f>SUM(AU74:AU82)</f>
        <v>443405</v>
      </c>
      <c r="AQ73" s="295" t="s">
        <v>783</v>
      </c>
      <c r="AR73" s="296"/>
      <c r="AS73" s="296"/>
      <c r="AT73" s="296" t="s">
        <v>181</v>
      </c>
      <c r="AU73" s="296" t="s">
        <v>787</v>
      </c>
      <c r="AV73" s="296" t="s">
        <v>86</v>
      </c>
      <c r="AW73" s="296"/>
      <c r="AX73" s="296"/>
      <c r="AY73"/>
      <c r="BA73" s="294">
        <f>SUM(BF74:BF82)</f>
        <v>500277.4</v>
      </c>
      <c r="BB73" s="295" t="s">
        <v>783</v>
      </c>
      <c r="BC73" s="296"/>
      <c r="BD73" s="296"/>
      <c r="BE73" s="296" t="s">
        <v>181</v>
      </c>
      <c r="BF73" s="296" t="s">
        <v>787</v>
      </c>
      <c r="BG73" s="296" t="s">
        <v>86</v>
      </c>
      <c r="BH73" s="296"/>
      <c r="BI73" s="296"/>
      <c r="BL73" s="294">
        <f>SUM(BQ74:BQ82)</f>
        <v>563390</v>
      </c>
      <c r="BM73" s="295" t="s">
        <v>783</v>
      </c>
      <c r="BN73" s="296"/>
      <c r="BO73" s="296"/>
      <c r="BP73" s="296" t="s">
        <v>181</v>
      </c>
      <c r="BQ73" s="296" t="s">
        <v>787</v>
      </c>
      <c r="BR73" s="296" t="s">
        <v>86</v>
      </c>
      <c r="BS73" s="296"/>
      <c r="BT73" s="296"/>
      <c r="BW73" s="294">
        <f>SUM(CB74:CB82)</f>
        <v>1114275.5</v>
      </c>
      <c r="BX73" s="295" t="s">
        <v>783</v>
      </c>
      <c r="BY73" s="296"/>
      <c r="BZ73" s="296"/>
      <c r="CA73" s="296" t="s">
        <v>181</v>
      </c>
      <c r="CB73" s="296" t="s">
        <v>787</v>
      </c>
      <c r="CC73" s="296" t="s">
        <v>86</v>
      </c>
      <c r="CD73" s="296"/>
      <c r="CE73" s="296"/>
      <c r="CH73" s="294">
        <f>SUM(CM74:CM82)</f>
        <v>1304024.3</v>
      </c>
      <c r="CI73" s="295" t="s">
        <v>783</v>
      </c>
      <c r="CJ73" s="296"/>
      <c r="CK73" s="296"/>
      <c r="CL73" s="296" t="s">
        <v>181</v>
      </c>
      <c r="CM73" s="296" t="s">
        <v>787</v>
      </c>
      <c r="CN73" s="296" t="s">
        <v>86</v>
      </c>
      <c r="CO73" s="296"/>
      <c r="CP73" s="296"/>
      <c r="CS73" s="294">
        <f>SUM(CX74:CX82)</f>
        <v>1464045.8</v>
      </c>
      <c r="CT73" s="295" t="s">
        <v>783</v>
      </c>
      <c r="CU73" s="296"/>
      <c r="CV73" s="296"/>
      <c r="CW73" s="296" t="s">
        <v>181</v>
      </c>
      <c r="CX73" s="296" t="s">
        <v>787</v>
      </c>
      <c r="CY73" s="296" t="s">
        <v>86</v>
      </c>
      <c r="CZ73" s="296"/>
      <c r="DA73" s="296"/>
      <c r="DD73" s="294">
        <f>SUM(DI74:DI82)</f>
        <v>1790388.4</v>
      </c>
      <c r="DE73" s="295" t="s">
        <v>783</v>
      </c>
      <c r="DF73" s="296"/>
      <c r="DG73" s="296"/>
      <c r="DH73" s="296" t="s">
        <v>181</v>
      </c>
      <c r="DI73" s="296" t="s">
        <v>787</v>
      </c>
      <c r="DJ73" s="296" t="s">
        <v>86</v>
      </c>
      <c r="DK73" s="296"/>
      <c r="DL73" s="296"/>
      <c r="DO73" s="294">
        <f>SUM(DT74:DT82)</f>
        <v>1436651.6</v>
      </c>
      <c r="DP73" s="295" t="s">
        <v>783</v>
      </c>
      <c r="DQ73" s="296"/>
      <c r="DR73" s="296"/>
      <c r="DS73" s="296" t="s">
        <v>181</v>
      </c>
      <c r="DT73" s="296" t="s">
        <v>787</v>
      </c>
      <c r="DU73" s="296" t="s">
        <v>86</v>
      </c>
      <c r="DV73" s="296"/>
      <c r="DW73" s="296"/>
    </row>
    <row r="74" spans="2:138">
      <c r="B74" s="294"/>
      <c r="C74" s="295"/>
      <c r="D74" s="296" t="s">
        <v>146</v>
      </c>
      <c r="E74" s="296" t="s">
        <v>171</v>
      </c>
      <c r="F74" s="297">
        <v>648746</v>
      </c>
      <c r="G74" s="297">
        <v>111876</v>
      </c>
      <c r="H74" s="296">
        <v>495.12299999999999</v>
      </c>
      <c r="I74" s="296"/>
      <c r="J74" s="296"/>
      <c r="L74" s="294"/>
      <c r="M74" s="295"/>
      <c r="N74" s="296" t="s">
        <v>789</v>
      </c>
      <c r="O74" s="296" t="s">
        <v>788</v>
      </c>
      <c r="P74" s="297">
        <v>174182</v>
      </c>
      <c r="Q74" s="297">
        <v>30037.4</v>
      </c>
      <c r="R74" s="296">
        <v>132.935</v>
      </c>
      <c r="S74" s="296"/>
      <c r="T74" s="296"/>
      <c r="V74" s="294"/>
      <c r="W74" s="295"/>
      <c r="X74" s="296" t="s">
        <v>146</v>
      </c>
      <c r="Y74" s="296" t="s">
        <v>171</v>
      </c>
      <c r="Z74" s="297">
        <v>366431</v>
      </c>
      <c r="AA74" s="297">
        <v>63190.6</v>
      </c>
      <c r="AB74" s="296">
        <v>279.66000000000003</v>
      </c>
      <c r="AC74" s="296"/>
      <c r="AD74" s="296"/>
      <c r="AF74" s="294"/>
      <c r="AG74" s="295"/>
      <c r="AH74" s="296" t="s">
        <v>146</v>
      </c>
      <c r="AI74" s="296" t="s">
        <v>171</v>
      </c>
      <c r="AJ74" s="297">
        <v>2279750</v>
      </c>
      <c r="AK74" s="297">
        <v>393139</v>
      </c>
      <c r="AL74" s="296">
        <v>1739.9</v>
      </c>
      <c r="AM74" s="296"/>
      <c r="AN74" s="296"/>
      <c r="AP74" s="294"/>
      <c r="AQ74" s="295"/>
      <c r="AR74" s="296" t="s">
        <v>146</v>
      </c>
      <c r="AS74" s="296" t="s">
        <v>171</v>
      </c>
      <c r="AT74" s="297">
        <v>1829040</v>
      </c>
      <c r="AU74" s="297">
        <v>315415</v>
      </c>
      <c r="AV74" s="296">
        <v>1395.92</v>
      </c>
      <c r="AW74" s="296"/>
      <c r="AX74" s="296"/>
      <c r="AY74"/>
      <c r="BA74" s="294"/>
      <c r="BB74" s="295"/>
      <c r="BC74" s="296" t="s">
        <v>146</v>
      </c>
      <c r="BD74" s="296" t="s">
        <v>171</v>
      </c>
      <c r="BE74" s="297">
        <v>2041860</v>
      </c>
      <c r="BF74" s="297">
        <v>352117</v>
      </c>
      <c r="BG74" s="296">
        <v>1558.35</v>
      </c>
      <c r="BH74" s="296"/>
      <c r="BI74" s="296"/>
      <c r="BL74" s="294"/>
      <c r="BM74" s="295"/>
      <c r="BN74" s="296" t="s">
        <v>146</v>
      </c>
      <c r="BO74" s="296" t="s">
        <v>171</v>
      </c>
      <c r="BP74" s="297">
        <v>2288090</v>
      </c>
      <c r="BQ74" s="297">
        <v>394578</v>
      </c>
      <c r="BR74" s="296">
        <v>1746.27</v>
      </c>
      <c r="BS74" s="296"/>
      <c r="BT74" s="296"/>
      <c r="BW74" s="294"/>
      <c r="BX74" s="295"/>
      <c r="BY74" s="296" t="s">
        <v>146</v>
      </c>
      <c r="BZ74" s="296" t="s">
        <v>171</v>
      </c>
      <c r="CA74" s="297">
        <v>4444960</v>
      </c>
      <c r="CB74" s="297">
        <v>766528</v>
      </c>
      <c r="CC74" s="296">
        <v>3392.4</v>
      </c>
      <c r="CD74" s="296"/>
      <c r="CE74" s="296"/>
      <c r="CH74" s="294"/>
      <c r="CI74" s="295"/>
      <c r="CJ74" s="296" t="s">
        <v>146</v>
      </c>
      <c r="CK74" s="296" t="s">
        <v>171</v>
      </c>
      <c r="CL74" s="297">
        <v>5183270</v>
      </c>
      <c r="CM74" s="297">
        <v>893849</v>
      </c>
      <c r="CN74" s="296">
        <v>3955.87</v>
      </c>
      <c r="CO74" s="296"/>
      <c r="CP74" s="296"/>
      <c r="CS74" s="294"/>
      <c r="CT74" s="295"/>
      <c r="CU74" s="296" t="s">
        <v>146</v>
      </c>
      <c r="CV74" s="296" t="s">
        <v>171</v>
      </c>
      <c r="CW74" s="297">
        <v>5807510</v>
      </c>
      <c r="CX74" s="297">
        <v>1001500</v>
      </c>
      <c r="CY74" s="296">
        <v>4432.29</v>
      </c>
      <c r="CZ74" s="296"/>
      <c r="DA74" s="296"/>
      <c r="DD74" s="294"/>
      <c r="DE74" s="295"/>
      <c r="DF74" s="296" t="s">
        <v>146</v>
      </c>
      <c r="DG74" s="296" t="s">
        <v>171</v>
      </c>
      <c r="DH74" s="297">
        <v>6951430</v>
      </c>
      <c r="DI74" s="297">
        <v>1198770</v>
      </c>
      <c r="DJ74" s="296">
        <v>5305.33</v>
      </c>
      <c r="DK74" s="296"/>
      <c r="DL74" s="296"/>
      <c r="DO74" s="294"/>
      <c r="DP74" s="295"/>
      <c r="DQ74" s="296" t="s">
        <v>146</v>
      </c>
      <c r="DR74" s="296" t="s">
        <v>171</v>
      </c>
      <c r="DS74" s="297">
        <v>5647370</v>
      </c>
      <c r="DT74" s="297">
        <v>973881</v>
      </c>
      <c r="DU74" s="296">
        <v>4310.07</v>
      </c>
      <c r="DV74" s="296"/>
      <c r="DW74" s="296"/>
    </row>
    <row r="75" spans="2:138">
      <c r="B75" s="294"/>
      <c r="C75" s="295"/>
      <c r="D75" s="296" t="s">
        <v>789</v>
      </c>
      <c r="E75" s="296" t="s">
        <v>788</v>
      </c>
      <c r="F75" s="296">
        <v>341259</v>
      </c>
      <c r="G75" s="297">
        <v>58849.7</v>
      </c>
      <c r="H75" s="296">
        <v>260.44900000000001</v>
      </c>
      <c r="I75" s="296"/>
      <c r="J75" s="296"/>
      <c r="L75" s="294"/>
      <c r="M75" s="295"/>
      <c r="N75" s="296" t="s">
        <v>793</v>
      </c>
      <c r="O75" s="296" t="s">
        <v>788</v>
      </c>
      <c r="P75" s="296">
        <v>181945</v>
      </c>
      <c r="Q75" s="297">
        <v>31376.3</v>
      </c>
      <c r="R75" s="296">
        <v>138.86099999999999</v>
      </c>
      <c r="S75" s="296"/>
      <c r="T75" s="296"/>
      <c r="V75" s="294"/>
      <c r="W75" s="295"/>
      <c r="X75" s="296" t="s">
        <v>789</v>
      </c>
      <c r="Y75" s="296" t="s">
        <v>788</v>
      </c>
      <c r="Z75" s="297">
        <v>134414</v>
      </c>
      <c r="AA75" s="297">
        <v>23179.599999999999</v>
      </c>
      <c r="AB75" s="296">
        <v>102.58499999999999</v>
      </c>
      <c r="AC75" s="296"/>
      <c r="AD75" s="296"/>
      <c r="AF75" s="294"/>
      <c r="AG75" s="295"/>
      <c r="AH75" s="296" t="s">
        <v>789</v>
      </c>
      <c r="AI75" s="296" t="s">
        <v>788</v>
      </c>
      <c r="AJ75" s="297">
        <v>882924</v>
      </c>
      <c r="AK75" s="297">
        <v>152259</v>
      </c>
      <c r="AL75" s="296">
        <v>673.84799999999996</v>
      </c>
      <c r="AM75" s="296"/>
      <c r="AN75" s="296"/>
      <c r="AP75" s="294"/>
      <c r="AQ75" s="295"/>
      <c r="AR75" s="296" t="s">
        <v>789</v>
      </c>
      <c r="AS75" s="296" t="s">
        <v>788</v>
      </c>
      <c r="AT75" s="296">
        <v>678585</v>
      </c>
      <c r="AU75" s="297">
        <v>117021</v>
      </c>
      <c r="AV75" s="296">
        <v>517.89599999999996</v>
      </c>
      <c r="AW75" s="296"/>
      <c r="AX75" s="296"/>
      <c r="AY75"/>
      <c r="BA75" s="294"/>
      <c r="BB75" s="295"/>
      <c r="BC75" s="296" t="s">
        <v>789</v>
      </c>
      <c r="BD75" s="296" t="s">
        <v>788</v>
      </c>
      <c r="BE75" s="296">
        <v>785519</v>
      </c>
      <c r="BF75" s="297">
        <v>135462</v>
      </c>
      <c r="BG75" s="296">
        <v>599.50800000000004</v>
      </c>
      <c r="BH75" s="296"/>
      <c r="BI75" s="296"/>
      <c r="BL75" s="294"/>
      <c r="BM75" s="295"/>
      <c r="BN75" s="296" t="s">
        <v>789</v>
      </c>
      <c r="BO75" s="296" t="s">
        <v>788</v>
      </c>
      <c r="BP75" s="297">
        <v>895008</v>
      </c>
      <c r="BQ75" s="297">
        <v>154343</v>
      </c>
      <c r="BR75" s="296">
        <v>683.07</v>
      </c>
      <c r="BS75" s="296"/>
      <c r="BT75" s="296"/>
      <c r="BW75" s="294"/>
      <c r="BX75" s="295"/>
      <c r="BY75" s="296" t="s">
        <v>789</v>
      </c>
      <c r="BZ75" s="296" t="s">
        <v>788</v>
      </c>
      <c r="CA75" s="297">
        <v>1843740</v>
      </c>
      <c r="CB75" s="297">
        <v>317950</v>
      </c>
      <c r="CC75" s="296">
        <v>1407.14</v>
      </c>
      <c r="CD75" s="296"/>
      <c r="CE75" s="296"/>
      <c r="CH75" s="294"/>
      <c r="CI75" s="295"/>
      <c r="CJ75" s="296" t="s">
        <v>789</v>
      </c>
      <c r="CK75" s="296" t="s">
        <v>788</v>
      </c>
      <c r="CL75" s="297">
        <v>2174720</v>
      </c>
      <c r="CM75" s="297">
        <v>375028</v>
      </c>
      <c r="CN75" s="296">
        <v>1659.75</v>
      </c>
      <c r="CO75" s="296"/>
      <c r="CP75" s="296"/>
      <c r="CS75" s="294"/>
      <c r="CT75" s="295"/>
      <c r="CU75" s="296" t="s">
        <v>789</v>
      </c>
      <c r="CV75" s="296" t="s">
        <v>788</v>
      </c>
      <c r="CW75" s="297">
        <v>2452370</v>
      </c>
      <c r="CX75" s="297">
        <v>422908</v>
      </c>
      <c r="CY75" s="296">
        <v>1871.65</v>
      </c>
      <c r="CZ75" s="296"/>
      <c r="DA75" s="296"/>
      <c r="DD75" s="294"/>
      <c r="DE75" s="295"/>
      <c r="DF75" s="296" t="s">
        <v>789</v>
      </c>
      <c r="DG75" s="296" t="s">
        <v>788</v>
      </c>
      <c r="DH75" s="297">
        <v>3136720</v>
      </c>
      <c r="DI75" s="297">
        <v>540923</v>
      </c>
      <c r="DJ75" s="296">
        <v>2393.94</v>
      </c>
      <c r="DK75" s="296"/>
      <c r="DL75" s="296"/>
      <c r="DO75" s="294"/>
      <c r="DP75" s="295"/>
      <c r="DQ75" s="296" t="s">
        <v>789</v>
      </c>
      <c r="DR75" s="296" t="s">
        <v>788</v>
      </c>
      <c r="DS75" s="297">
        <v>2453520</v>
      </c>
      <c r="DT75" s="297">
        <v>423107</v>
      </c>
      <c r="DU75" s="296">
        <v>1872.53</v>
      </c>
      <c r="DV75" s="296"/>
      <c r="DW75" s="296"/>
    </row>
    <row r="76" spans="2:138">
      <c r="B76" s="294"/>
      <c r="C76" s="295"/>
      <c r="D76" s="296" t="s">
        <v>793</v>
      </c>
      <c r="E76" s="296" t="s">
        <v>788</v>
      </c>
      <c r="F76" s="296">
        <v>136739</v>
      </c>
      <c r="G76" s="297">
        <v>23580.400000000001</v>
      </c>
      <c r="H76" s="296">
        <v>104.35899999999999</v>
      </c>
      <c r="I76" s="296"/>
      <c r="J76" s="296"/>
      <c r="L76" s="294"/>
      <c r="M76" s="295"/>
      <c r="N76" s="296"/>
      <c r="O76" s="296"/>
      <c r="P76" s="296"/>
      <c r="Q76" s="296"/>
      <c r="R76" s="296"/>
      <c r="S76" s="296"/>
      <c r="T76" s="296"/>
      <c r="V76" s="294"/>
      <c r="W76" s="295"/>
      <c r="X76" s="296" t="s">
        <v>793</v>
      </c>
      <c r="Y76" s="296" t="s">
        <v>788</v>
      </c>
      <c r="Z76" s="296">
        <v>252186</v>
      </c>
      <c r="AA76" s="297">
        <v>43489.1</v>
      </c>
      <c r="AB76" s="296">
        <v>192.46799999999999</v>
      </c>
      <c r="AC76" s="296"/>
      <c r="AD76" s="296"/>
      <c r="AF76" s="294"/>
      <c r="AG76" s="295"/>
      <c r="AH76" s="296" t="s">
        <v>793</v>
      </c>
      <c r="AI76" s="296" t="s">
        <v>788</v>
      </c>
      <c r="AJ76" s="296">
        <v>82733.600000000006</v>
      </c>
      <c r="AK76" s="297">
        <v>14267.3</v>
      </c>
      <c r="AL76" s="296">
        <v>63.142299999999999</v>
      </c>
      <c r="AM76" s="296"/>
      <c r="AN76" s="296"/>
      <c r="AP76" s="294"/>
      <c r="AQ76" s="295"/>
      <c r="AR76" s="296" t="s">
        <v>793</v>
      </c>
      <c r="AS76" s="296" t="s">
        <v>788</v>
      </c>
      <c r="AT76" s="296">
        <v>63607.4</v>
      </c>
      <c r="AU76" s="297">
        <v>10969</v>
      </c>
      <c r="AV76" s="296">
        <v>48.545200000000001</v>
      </c>
      <c r="AW76" s="296"/>
      <c r="AX76" s="296"/>
      <c r="AY76"/>
      <c r="BA76" s="294"/>
      <c r="BB76" s="295"/>
      <c r="BC76" s="296" t="s">
        <v>793</v>
      </c>
      <c r="BD76" s="296" t="s">
        <v>788</v>
      </c>
      <c r="BE76" s="296">
        <v>73635.600000000006</v>
      </c>
      <c r="BF76" s="297">
        <v>12698.4</v>
      </c>
      <c r="BG76" s="296">
        <v>56.198700000000002</v>
      </c>
      <c r="BH76" s="296"/>
      <c r="BI76" s="296"/>
      <c r="BL76" s="294"/>
      <c r="BM76" s="295"/>
      <c r="BN76" s="296" t="s">
        <v>793</v>
      </c>
      <c r="BO76" s="296" t="s">
        <v>788</v>
      </c>
      <c r="BP76" s="296">
        <v>83903.1</v>
      </c>
      <c r="BQ76" s="297">
        <v>14469</v>
      </c>
      <c r="BR76" s="296">
        <v>64.034899999999993</v>
      </c>
      <c r="BS76" s="296"/>
      <c r="BT76" s="296"/>
      <c r="BW76" s="294"/>
      <c r="BX76" s="295"/>
      <c r="BY76" s="296" t="s">
        <v>793</v>
      </c>
      <c r="BZ76" s="296" t="s">
        <v>788</v>
      </c>
      <c r="CA76" s="296">
        <v>172790</v>
      </c>
      <c r="CB76" s="297">
        <v>29797.5</v>
      </c>
      <c r="CC76" s="296">
        <v>131.874</v>
      </c>
      <c r="CD76" s="296"/>
      <c r="CE76" s="296"/>
      <c r="CH76" s="294"/>
      <c r="CI76" s="295"/>
      <c r="CJ76" s="296" t="s">
        <v>793</v>
      </c>
      <c r="CK76" s="296" t="s">
        <v>788</v>
      </c>
      <c r="CL76" s="296">
        <v>203813</v>
      </c>
      <c r="CM76" s="297">
        <v>35147.300000000003</v>
      </c>
      <c r="CN76" s="296">
        <v>155.55000000000001</v>
      </c>
      <c r="CO76" s="296"/>
      <c r="CP76" s="296"/>
      <c r="CS76" s="294"/>
      <c r="CT76" s="295"/>
      <c r="CU76" s="296" t="s">
        <v>793</v>
      </c>
      <c r="CV76" s="296" t="s">
        <v>788</v>
      </c>
      <c r="CW76" s="296">
        <v>229853</v>
      </c>
      <c r="CX76" s="297">
        <v>39637.800000000003</v>
      </c>
      <c r="CY76" s="296">
        <v>175.42400000000001</v>
      </c>
      <c r="CZ76" s="296"/>
      <c r="DA76" s="296"/>
      <c r="DD76" s="294"/>
      <c r="DE76" s="295"/>
      <c r="DF76" s="296" t="s">
        <v>793</v>
      </c>
      <c r="DG76" s="296" t="s">
        <v>788</v>
      </c>
      <c r="DH76" s="296">
        <v>293974</v>
      </c>
      <c r="DI76" s="297">
        <v>50695.4</v>
      </c>
      <c r="DJ76" s="296">
        <v>224.36099999999999</v>
      </c>
      <c r="DK76" s="296"/>
      <c r="DL76" s="296"/>
      <c r="DO76" s="294"/>
      <c r="DP76" s="295"/>
      <c r="DQ76" s="296" t="s">
        <v>793</v>
      </c>
      <c r="DR76" s="296" t="s">
        <v>788</v>
      </c>
      <c r="DS76" s="296">
        <v>230002</v>
      </c>
      <c r="DT76" s="297">
        <v>39663.599999999999</v>
      </c>
      <c r="DU76" s="296">
        <v>175.53800000000001</v>
      </c>
      <c r="DV76" s="296"/>
      <c r="DW76" s="296"/>
    </row>
    <row r="77" spans="2:138">
      <c r="B77" s="294"/>
      <c r="C77" s="295"/>
      <c r="D77" s="764" t="s">
        <v>566</v>
      </c>
      <c r="E77" s="764" t="s">
        <v>171</v>
      </c>
      <c r="F77" s="764">
        <v>5793.44</v>
      </c>
      <c r="G77" s="764">
        <v>997.96500000000003</v>
      </c>
      <c r="H77" s="764">
        <v>4.4215499999999999</v>
      </c>
      <c r="I77" s="764"/>
      <c r="J77" s="296"/>
      <c r="L77" s="294"/>
      <c r="M77" s="295"/>
      <c r="N77" s="764" t="s">
        <v>566</v>
      </c>
      <c r="O77" s="764" t="s">
        <v>171</v>
      </c>
      <c r="P77" s="764">
        <v>6132.93</v>
      </c>
      <c r="Q77" s="764">
        <v>1056.45</v>
      </c>
      <c r="R77" s="764">
        <v>4.68065</v>
      </c>
      <c r="S77" s="764"/>
      <c r="T77" s="296"/>
      <c r="V77" s="294"/>
      <c r="W77" s="295"/>
      <c r="X77" s="764" t="s">
        <v>566</v>
      </c>
      <c r="Y77" s="764" t="s">
        <v>171</v>
      </c>
      <c r="Z77" s="764">
        <v>11623.2</v>
      </c>
      <c r="AA77" s="764">
        <v>2002.19</v>
      </c>
      <c r="AB77" s="764">
        <v>8.8708299999999998</v>
      </c>
      <c r="AC77" s="764"/>
      <c r="AD77" s="296"/>
      <c r="AF77" s="294"/>
      <c r="AG77" s="295"/>
      <c r="AH77" s="764"/>
      <c r="AI77" s="764"/>
      <c r="AJ77" s="764"/>
      <c r="AK77" s="764"/>
      <c r="AL77" s="764"/>
      <c r="AM77" s="296"/>
      <c r="AN77" s="296"/>
      <c r="AP77" s="294"/>
      <c r="AQ77" s="295"/>
      <c r="AR77" s="764"/>
      <c r="AS77" s="764"/>
      <c r="AT77" s="764"/>
      <c r="AU77" s="764"/>
      <c r="AV77" s="764"/>
      <c r="AW77" s="296"/>
      <c r="AX77" s="296"/>
      <c r="AY77"/>
      <c r="BA77" s="294"/>
      <c r="BB77" s="295"/>
      <c r="BC77" s="764"/>
      <c r="BD77" s="764"/>
      <c r="BE77" s="764"/>
      <c r="BF77" s="764"/>
      <c r="BG77" s="764"/>
      <c r="BH77" s="296"/>
      <c r="BI77" s="296"/>
      <c r="BL77" s="294"/>
      <c r="BM77" s="295"/>
      <c r="BN77" s="764"/>
      <c r="BO77" s="764"/>
      <c r="BP77" s="764"/>
      <c r="BQ77" s="764"/>
      <c r="BR77" s="764"/>
      <c r="BS77" s="296"/>
      <c r="BT77" s="296"/>
      <c r="BW77" s="294"/>
      <c r="BX77" s="295"/>
      <c r="BY77" s="764"/>
      <c r="BZ77" s="764"/>
      <c r="CA77" s="764"/>
      <c r="CB77" s="764"/>
      <c r="CC77" s="764"/>
      <c r="CD77" s="296"/>
      <c r="CE77" s="296"/>
      <c r="CH77" s="294"/>
      <c r="CI77" s="295"/>
      <c r="CJ77" s="764"/>
      <c r="CK77" s="764"/>
      <c r="CL77" s="764"/>
      <c r="CM77" s="764"/>
      <c r="CN77" s="764"/>
      <c r="CO77" s="296"/>
      <c r="CP77" s="296"/>
      <c r="CS77" s="294"/>
      <c r="CT77" s="295"/>
      <c r="CU77" s="764"/>
      <c r="CV77" s="764"/>
      <c r="CW77" s="764"/>
      <c r="CX77" s="764"/>
      <c r="CY77" s="764"/>
      <c r="CZ77" s="296"/>
      <c r="DA77" s="296"/>
      <c r="DD77" s="294"/>
      <c r="DE77" s="295"/>
      <c r="DF77" s="764"/>
      <c r="DG77" s="764"/>
      <c r="DH77" s="764"/>
      <c r="DI77" s="764"/>
      <c r="DJ77" s="764"/>
      <c r="DK77" s="296"/>
      <c r="DL77" s="296"/>
      <c r="DO77" s="294"/>
      <c r="DP77" s="295"/>
      <c r="DQ77" s="764"/>
      <c r="DR77" s="764"/>
      <c r="DS77" s="764"/>
      <c r="DT77" s="764"/>
      <c r="DU77" s="764"/>
      <c r="DV77" s="296"/>
      <c r="DW77" s="296"/>
    </row>
    <row r="78" spans="2:138">
      <c r="B78" s="294"/>
      <c r="C78" s="295"/>
      <c r="D78" s="764" t="s">
        <v>567</v>
      </c>
      <c r="E78" s="764" t="s">
        <v>171</v>
      </c>
      <c r="F78" s="764">
        <v>56.360599999999998</v>
      </c>
      <c r="G78" s="764">
        <v>9.7085600000000003</v>
      </c>
      <c r="H78" s="764">
        <v>4.3014400000000001E-2</v>
      </c>
      <c r="I78" s="764"/>
      <c r="J78" s="296"/>
      <c r="L78" s="294"/>
      <c r="M78" s="295"/>
      <c r="N78" s="764" t="s">
        <v>567</v>
      </c>
      <c r="O78" s="764" t="s">
        <v>171</v>
      </c>
      <c r="P78" s="764">
        <v>175.518</v>
      </c>
      <c r="Q78" s="764">
        <v>30.234400000000001</v>
      </c>
      <c r="R78" s="764">
        <v>0.13395599999999999</v>
      </c>
      <c r="S78" s="764"/>
      <c r="T78" s="296"/>
      <c r="V78" s="294"/>
      <c r="W78" s="295"/>
      <c r="X78" s="764" t="s">
        <v>567</v>
      </c>
      <c r="Y78" s="764" t="s">
        <v>171</v>
      </c>
      <c r="Z78" s="764">
        <v>250.50299999999999</v>
      </c>
      <c r="AA78" s="764">
        <v>43.151200000000003</v>
      </c>
      <c r="AB78" s="764">
        <v>0.19118399999999999</v>
      </c>
      <c r="AC78" s="764"/>
      <c r="AD78" s="296"/>
      <c r="AF78" s="294"/>
      <c r="AG78" s="295"/>
      <c r="AH78" s="764"/>
      <c r="AI78" s="764"/>
      <c r="AJ78" s="764"/>
      <c r="AK78" s="764"/>
      <c r="AL78" s="764"/>
      <c r="AM78" s="296"/>
      <c r="AN78" s="296"/>
      <c r="AP78" s="294"/>
      <c r="AQ78" s="295"/>
      <c r="AR78" s="764"/>
      <c r="AS78" s="764"/>
      <c r="AT78" s="764"/>
      <c r="AU78" s="764"/>
      <c r="AV78" s="764"/>
      <c r="AW78" s="296"/>
      <c r="AX78" s="296"/>
      <c r="AY78"/>
      <c r="BA78" s="294"/>
      <c r="BB78" s="295"/>
      <c r="BC78" s="764"/>
      <c r="BD78" s="764"/>
      <c r="BE78" s="764"/>
      <c r="BF78" s="764"/>
      <c r="BG78" s="764"/>
      <c r="BH78" s="296"/>
      <c r="BI78" s="296"/>
      <c r="BL78" s="294"/>
      <c r="BM78" s="295"/>
      <c r="BN78" s="764"/>
      <c r="BO78" s="764"/>
      <c r="BP78" s="764"/>
      <c r="BQ78" s="764"/>
      <c r="BR78" s="764"/>
      <c r="BS78" s="296"/>
      <c r="BT78" s="296"/>
      <c r="BW78" s="294"/>
      <c r="BX78" s="295"/>
      <c r="BY78" s="764"/>
      <c r="BZ78" s="764"/>
      <c r="CA78" s="764"/>
      <c r="CB78" s="764"/>
      <c r="CC78" s="764"/>
      <c r="CD78" s="296"/>
      <c r="CE78" s="296"/>
      <c r="CH78" s="294"/>
      <c r="CI78" s="295"/>
      <c r="CJ78" s="764"/>
      <c r="CK78" s="764"/>
      <c r="CL78" s="764"/>
      <c r="CM78" s="764"/>
      <c r="CN78" s="764"/>
      <c r="CO78" s="296"/>
      <c r="CP78" s="296"/>
      <c r="CS78" s="294"/>
      <c r="CT78" s="295"/>
      <c r="CU78" s="764"/>
      <c r="CV78" s="764"/>
      <c r="CW78" s="764"/>
      <c r="CX78" s="764"/>
      <c r="CY78" s="764"/>
      <c r="CZ78" s="296"/>
      <c r="DA78" s="296"/>
      <c r="DD78" s="294"/>
      <c r="DE78" s="295"/>
      <c r="DF78" s="764"/>
      <c r="DG78" s="764"/>
      <c r="DH78" s="764"/>
      <c r="DI78" s="764"/>
      <c r="DJ78" s="764"/>
      <c r="DK78" s="296"/>
      <c r="DL78" s="296"/>
      <c r="DO78" s="294"/>
      <c r="DP78" s="295"/>
      <c r="DQ78" s="764"/>
      <c r="DR78" s="764"/>
      <c r="DS78" s="764"/>
      <c r="DT78" s="764"/>
      <c r="DU78" s="764"/>
      <c r="DV78" s="296"/>
      <c r="DW78" s="296"/>
    </row>
    <row r="79" spans="2:138">
      <c r="B79" s="294"/>
      <c r="C79" s="295"/>
      <c r="D79" s="764" t="s">
        <v>1127</v>
      </c>
      <c r="E79" s="764" t="s">
        <v>171</v>
      </c>
      <c r="F79" s="764">
        <v>33008.9</v>
      </c>
      <c r="G79" s="764">
        <v>5686.05</v>
      </c>
      <c r="H79" s="764">
        <v>25.192399999999999</v>
      </c>
      <c r="I79" s="764"/>
      <c r="J79" s="296"/>
      <c r="L79" s="294"/>
      <c r="M79" s="295"/>
      <c r="N79" s="764" t="s">
        <v>1127</v>
      </c>
      <c r="O79" s="764" t="s">
        <v>171</v>
      </c>
      <c r="P79" s="764">
        <v>35245.1</v>
      </c>
      <c r="Q79" s="764">
        <v>6071.24</v>
      </c>
      <c r="R79" s="764">
        <v>26.899000000000001</v>
      </c>
      <c r="S79" s="764"/>
      <c r="T79" s="296"/>
      <c r="V79" s="294"/>
      <c r="W79" s="295"/>
      <c r="X79" s="764" t="s">
        <v>1127</v>
      </c>
      <c r="Y79" s="764" t="s">
        <v>171</v>
      </c>
      <c r="Z79" s="764">
        <v>51755.4</v>
      </c>
      <c r="AA79" s="764">
        <v>8915.2800000000007</v>
      </c>
      <c r="AB79" s="764">
        <v>39.499699999999997</v>
      </c>
      <c r="AC79" s="764"/>
      <c r="AD79" s="296"/>
      <c r="AF79" s="294"/>
      <c r="AG79" s="295"/>
      <c r="AH79" s="764"/>
      <c r="AI79" s="764"/>
      <c r="AJ79" s="764"/>
      <c r="AK79" s="764"/>
      <c r="AL79" s="764"/>
      <c r="AM79" s="296"/>
      <c r="AN79" s="296"/>
      <c r="AP79" s="294"/>
      <c r="AQ79" s="295"/>
      <c r="AR79" s="764"/>
      <c r="AS79" s="764"/>
      <c r="AT79" s="764"/>
      <c r="AU79" s="764"/>
      <c r="AV79" s="764"/>
      <c r="AW79" s="296"/>
      <c r="AX79" s="296"/>
      <c r="BA79" s="294"/>
      <c r="BB79" s="295"/>
      <c r="BC79" s="764"/>
      <c r="BD79" s="764"/>
      <c r="BE79" s="764"/>
      <c r="BF79" s="764"/>
      <c r="BG79" s="764"/>
      <c r="BH79" s="296"/>
      <c r="BI79" s="296"/>
      <c r="BL79" s="294"/>
      <c r="BM79" s="295"/>
      <c r="BN79" s="764"/>
      <c r="BO79" s="764"/>
      <c r="BP79" s="764"/>
      <c r="BQ79" s="764"/>
      <c r="BR79" s="764"/>
      <c r="BS79" s="296"/>
      <c r="BT79" s="296"/>
      <c r="BW79" s="294"/>
      <c r="BX79" s="295"/>
      <c r="BY79" s="764"/>
      <c r="BZ79" s="764"/>
      <c r="CA79" s="764"/>
      <c r="CB79" s="764"/>
      <c r="CC79" s="764"/>
      <c r="CD79" s="296"/>
      <c r="CE79" s="296"/>
      <c r="CH79" s="294"/>
      <c r="CI79" s="295"/>
      <c r="CJ79" s="764"/>
      <c r="CK79" s="764"/>
      <c r="CL79" s="764"/>
      <c r="CM79" s="764"/>
      <c r="CN79" s="764"/>
      <c r="CO79" s="296"/>
      <c r="CP79" s="296"/>
      <c r="CS79" s="294"/>
      <c r="CT79" s="295"/>
      <c r="CU79" s="764"/>
      <c r="CV79" s="764"/>
      <c r="CW79" s="764"/>
      <c r="CX79" s="764"/>
      <c r="CY79" s="764"/>
      <c r="CZ79" s="296"/>
      <c r="DA79" s="296"/>
      <c r="DD79" s="294"/>
      <c r="DE79" s="295"/>
      <c r="DF79" s="764"/>
      <c r="DG79" s="764"/>
      <c r="DH79" s="764"/>
      <c r="DI79" s="764"/>
      <c r="DJ79" s="764"/>
      <c r="DK79" s="296"/>
      <c r="DL79" s="296"/>
      <c r="DO79" s="294"/>
      <c r="DP79" s="295"/>
      <c r="DQ79" s="764"/>
      <c r="DR79" s="764"/>
      <c r="DS79" s="764"/>
      <c r="DT79" s="764"/>
      <c r="DU79" s="764"/>
      <c r="DV79" s="296"/>
      <c r="DW79" s="296"/>
    </row>
    <row r="80" spans="2:138">
      <c r="B80" s="294"/>
      <c r="C80" s="295"/>
      <c r="D80" s="885" t="s">
        <v>1076</v>
      </c>
      <c r="E80" s="885" t="s">
        <v>172</v>
      </c>
      <c r="F80" s="885">
        <v>4247.43</v>
      </c>
      <c r="G80" s="885">
        <v>731.654</v>
      </c>
      <c r="H80" s="885">
        <v>3.2416399999999999</v>
      </c>
      <c r="I80" s="764"/>
      <c r="J80" s="296"/>
      <c r="L80" s="294"/>
      <c r="M80" s="295"/>
      <c r="N80" s="885" t="s">
        <v>1076</v>
      </c>
      <c r="O80" s="885" t="s">
        <v>172</v>
      </c>
      <c r="P80" s="885">
        <v>4546.67</v>
      </c>
      <c r="Q80" s="885">
        <v>783.19899999999996</v>
      </c>
      <c r="R80" s="885">
        <v>3.4700199999999999</v>
      </c>
      <c r="S80" s="764"/>
      <c r="T80" s="296"/>
      <c r="V80" s="294"/>
      <c r="W80" s="295"/>
      <c r="X80" s="889" t="s">
        <v>1076</v>
      </c>
      <c r="Y80" s="889" t="s">
        <v>172</v>
      </c>
      <c r="Z80" s="889">
        <v>7036.83</v>
      </c>
      <c r="AA80" s="889">
        <v>1212.1500000000001</v>
      </c>
      <c r="AB80" s="889">
        <v>5.3705100000000003</v>
      </c>
      <c r="AC80" s="764"/>
      <c r="AD80" s="296"/>
      <c r="AF80" s="294"/>
      <c r="AG80" s="295"/>
      <c r="AH80" s="827"/>
      <c r="AI80" s="827"/>
      <c r="AJ80" s="827"/>
      <c r="AK80" s="827"/>
      <c r="AL80" s="827"/>
      <c r="AM80" s="296"/>
      <c r="AN80" s="296"/>
      <c r="AP80" s="294"/>
      <c r="AQ80" s="295"/>
      <c r="AR80" s="827"/>
      <c r="AS80" s="827"/>
      <c r="AT80" s="827"/>
      <c r="AU80" s="827"/>
      <c r="AV80" s="827"/>
      <c r="AW80" s="296"/>
      <c r="AX80" s="296"/>
      <c r="BA80" s="294"/>
      <c r="BB80" s="295"/>
      <c r="BC80" s="827"/>
      <c r="BD80" s="827"/>
      <c r="BE80" s="827"/>
      <c r="BF80" s="827"/>
      <c r="BG80" s="827"/>
      <c r="BH80" s="296"/>
      <c r="BI80" s="296"/>
      <c r="BL80" s="294"/>
      <c r="BM80" s="295"/>
      <c r="BN80" s="827"/>
      <c r="BO80" s="827"/>
      <c r="BP80" s="827"/>
      <c r="BQ80" s="827"/>
      <c r="BR80" s="827"/>
      <c r="BS80" s="296"/>
      <c r="BT80" s="296"/>
      <c r="BW80" s="294"/>
      <c r="BX80" s="295"/>
      <c r="BY80" s="827"/>
      <c r="BZ80" s="827"/>
      <c r="CA80" s="827"/>
      <c r="CB80" s="827"/>
      <c r="CC80" s="827"/>
      <c r="CD80" s="296"/>
      <c r="CE80" s="296"/>
      <c r="CH80" s="294"/>
      <c r="CI80" s="295"/>
      <c r="CJ80" s="827"/>
      <c r="CK80" s="827"/>
      <c r="CL80" s="827"/>
      <c r="CM80" s="827"/>
      <c r="CN80" s="827"/>
      <c r="CO80" s="296"/>
      <c r="CP80" s="296"/>
      <c r="CS80" s="294"/>
      <c r="CT80" s="295"/>
      <c r="CU80" s="827"/>
      <c r="CV80" s="827"/>
      <c r="CW80" s="827"/>
      <c r="CX80" s="827"/>
      <c r="CY80" s="827"/>
      <c r="CZ80" s="296"/>
      <c r="DA80" s="296"/>
      <c r="DD80" s="294"/>
      <c r="DE80" s="295"/>
      <c r="DF80" s="827"/>
      <c r="DG80" s="827"/>
      <c r="DH80" s="827"/>
      <c r="DI80" s="827"/>
      <c r="DJ80" s="827"/>
      <c r="DK80" s="296"/>
      <c r="DL80" s="296"/>
      <c r="DO80" s="294"/>
      <c r="DP80" s="295"/>
      <c r="DQ80" s="827"/>
      <c r="DR80" s="827"/>
      <c r="DS80" s="827"/>
      <c r="DT80" s="827"/>
      <c r="DU80" s="827"/>
      <c r="DV80" s="296"/>
      <c r="DW80" s="296"/>
    </row>
    <row r="81" spans="2:127">
      <c r="B81" s="294"/>
      <c r="C81" s="295"/>
      <c r="D81" s="829"/>
      <c r="E81" s="829"/>
      <c r="F81" s="829"/>
      <c r="G81" s="829"/>
      <c r="H81" s="829"/>
      <c r="I81" s="296"/>
      <c r="J81" s="296"/>
      <c r="L81" s="294"/>
      <c r="M81" s="295"/>
      <c r="N81" s="829"/>
      <c r="O81" s="829"/>
      <c r="P81" s="829"/>
      <c r="Q81" s="829"/>
      <c r="R81" s="829"/>
      <c r="S81" s="296"/>
      <c r="T81" s="296"/>
      <c r="V81" s="294"/>
      <c r="W81" s="295"/>
      <c r="X81" s="827"/>
      <c r="Y81" s="827"/>
      <c r="Z81" s="827"/>
      <c r="AA81" s="827"/>
      <c r="AB81" s="827"/>
      <c r="AC81" s="296"/>
      <c r="AD81" s="296"/>
      <c r="AF81" s="294"/>
      <c r="AG81" s="295"/>
      <c r="AH81" s="827"/>
      <c r="AI81" s="827"/>
      <c r="AJ81" s="827"/>
      <c r="AK81" s="827"/>
      <c r="AL81" s="827"/>
      <c r="AM81" s="296"/>
      <c r="AN81" s="296"/>
      <c r="AP81" s="294"/>
      <c r="AQ81" s="295"/>
      <c r="AR81" s="827"/>
      <c r="AS81" s="827"/>
      <c r="AT81" s="827"/>
      <c r="AU81" s="827"/>
      <c r="AV81" s="827"/>
      <c r="AW81" s="296"/>
      <c r="AX81" s="296"/>
      <c r="BA81" s="294"/>
      <c r="BB81" s="295"/>
      <c r="BC81" s="827"/>
      <c r="BD81" s="827"/>
      <c r="BE81" s="827"/>
      <c r="BF81" s="827"/>
      <c r="BG81" s="827"/>
      <c r="BH81" s="296"/>
      <c r="BI81" s="296"/>
      <c r="BL81" s="294"/>
      <c r="BM81" s="295"/>
      <c r="BN81" s="827"/>
      <c r="BO81" s="827"/>
      <c r="BP81" s="827"/>
      <c r="BQ81" s="827"/>
      <c r="BR81" s="827"/>
      <c r="BS81" s="296"/>
      <c r="BT81" s="296"/>
      <c r="BW81" s="294"/>
      <c r="BX81" s="295"/>
      <c r="BY81" s="827"/>
      <c r="BZ81" s="827"/>
      <c r="CA81" s="827"/>
      <c r="CB81" s="827"/>
      <c r="CC81" s="827"/>
      <c r="CD81" s="296"/>
      <c r="CE81" s="296"/>
      <c r="CH81" s="294"/>
      <c r="CI81" s="295"/>
      <c r="CJ81" s="827"/>
      <c r="CK81" s="827"/>
      <c r="CL81" s="827"/>
      <c r="CM81" s="827"/>
      <c r="CN81" s="827"/>
      <c r="CO81" s="296"/>
      <c r="CP81" s="296"/>
      <c r="CS81" s="294"/>
      <c r="CT81" s="295"/>
      <c r="CU81" s="827"/>
      <c r="CV81" s="827"/>
      <c r="CW81" s="827"/>
      <c r="CX81" s="827"/>
      <c r="CY81" s="827"/>
      <c r="CZ81" s="296"/>
      <c r="DA81" s="296"/>
      <c r="DD81" s="294"/>
      <c r="DE81" s="295"/>
      <c r="DF81" s="827"/>
      <c r="DG81" s="827"/>
      <c r="DH81" s="827"/>
      <c r="DI81" s="827"/>
      <c r="DJ81" s="827"/>
      <c r="DK81" s="296"/>
      <c r="DL81" s="296"/>
      <c r="DO81" s="294"/>
      <c r="DP81" s="295"/>
      <c r="DQ81" s="827"/>
      <c r="DR81" s="827"/>
      <c r="DS81" s="827"/>
      <c r="DT81" s="827"/>
      <c r="DU81" s="827"/>
      <c r="DV81" s="296"/>
      <c r="DW81" s="296"/>
    </row>
    <row r="82" spans="2:127">
      <c r="B82" s="294"/>
      <c r="C82" s="295"/>
      <c r="D82" s="829"/>
      <c r="E82" s="829"/>
      <c r="F82" s="829"/>
      <c r="G82" s="829"/>
      <c r="H82" s="829"/>
      <c r="I82" s="296"/>
      <c r="J82" s="296"/>
      <c r="L82" s="294"/>
      <c r="M82" s="295"/>
      <c r="N82" s="829"/>
      <c r="O82" s="829"/>
      <c r="P82" s="829"/>
      <c r="Q82" s="829"/>
      <c r="R82" s="829"/>
      <c r="S82" s="296"/>
      <c r="T82" s="296"/>
      <c r="V82" s="294"/>
      <c r="W82" s="295"/>
      <c r="X82" s="827"/>
      <c r="Y82" s="827"/>
      <c r="Z82" s="827"/>
      <c r="AA82" s="827"/>
      <c r="AB82" s="827"/>
      <c r="AC82" s="296"/>
      <c r="AD82" s="296"/>
      <c r="AF82" s="294"/>
      <c r="AG82" s="295"/>
      <c r="AH82" s="827"/>
      <c r="AI82" s="827"/>
      <c r="AJ82" s="827"/>
      <c r="AK82" s="827"/>
      <c r="AL82" s="827"/>
      <c r="AM82" s="296"/>
      <c r="AN82" s="296"/>
      <c r="AP82" s="294"/>
      <c r="AQ82" s="295"/>
      <c r="AR82" s="827"/>
      <c r="AS82" s="827"/>
      <c r="AT82" s="827"/>
      <c r="AU82" s="827"/>
      <c r="AV82" s="827"/>
      <c r="AW82" s="296"/>
      <c r="AX82" s="296"/>
      <c r="BA82" s="294"/>
      <c r="BB82" s="295"/>
      <c r="BC82" s="827"/>
      <c r="BD82" s="827"/>
      <c r="BE82" s="827"/>
      <c r="BF82" s="827"/>
      <c r="BG82" s="827"/>
      <c r="BH82" s="296"/>
      <c r="BI82" s="296"/>
      <c r="BL82" s="294"/>
      <c r="BM82" s="295"/>
      <c r="BN82" s="827"/>
      <c r="BO82" s="827"/>
      <c r="BP82" s="827"/>
      <c r="BQ82" s="827"/>
      <c r="BR82" s="827"/>
      <c r="BS82" s="296"/>
      <c r="BT82" s="296"/>
      <c r="BW82" s="294"/>
      <c r="BX82" s="295"/>
      <c r="BY82" s="827"/>
      <c r="BZ82" s="827"/>
      <c r="CA82" s="827"/>
      <c r="CB82" s="827"/>
      <c r="CC82" s="827"/>
      <c r="CD82" s="296"/>
      <c r="CE82" s="296"/>
      <c r="CH82" s="294"/>
      <c r="CI82" s="295"/>
      <c r="CJ82" s="827"/>
      <c r="CK82" s="827"/>
      <c r="CL82" s="827"/>
      <c r="CM82" s="827"/>
      <c r="CN82" s="827"/>
      <c r="CO82" s="296"/>
      <c r="CP82" s="296"/>
      <c r="CS82" s="294"/>
      <c r="CT82" s="295"/>
      <c r="CU82" s="827"/>
      <c r="CV82" s="827"/>
      <c r="CW82" s="827"/>
      <c r="CX82" s="827"/>
      <c r="CY82" s="827"/>
      <c r="CZ82" s="296"/>
      <c r="DA82" s="296"/>
      <c r="DD82" s="294"/>
      <c r="DE82" s="295"/>
      <c r="DF82" s="827"/>
      <c r="DG82" s="827"/>
      <c r="DH82" s="827"/>
      <c r="DI82" s="827"/>
      <c r="DJ82" s="827"/>
      <c r="DK82" s="296"/>
      <c r="DL82" s="296"/>
      <c r="DO82" s="294"/>
      <c r="DP82" s="295"/>
      <c r="DQ82" s="827"/>
      <c r="DR82" s="827"/>
      <c r="DS82" s="827"/>
      <c r="DT82" s="827"/>
      <c r="DU82" s="827"/>
      <c r="DV82" s="296"/>
      <c r="DW82" s="296"/>
    </row>
    <row r="83" spans="2:127">
      <c r="B83" s="298" t="s">
        <v>183</v>
      </c>
      <c r="C83" s="299"/>
      <c r="D83" s="300" t="s">
        <v>175</v>
      </c>
      <c r="E83" s="300" t="s">
        <v>176</v>
      </c>
      <c r="F83" s="300" t="s">
        <v>177</v>
      </c>
      <c r="G83" s="300" t="s">
        <v>178</v>
      </c>
      <c r="H83" s="300" t="s">
        <v>179</v>
      </c>
      <c r="I83" s="300" t="s">
        <v>180</v>
      </c>
      <c r="J83" s="300"/>
      <c r="L83" s="298" t="s">
        <v>183</v>
      </c>
      <c r="M83" s="299"/>
      <c r="N83" s="300" t="s">
        <v>175</v>
      </c>
      <c r="O83" s="300" t="s">
        <v>176</v>
      </c>
      <c r="P83" s="300" t="s">
        <v>177</v>
      </c>
      <c r="Q83" s="300" t="s">
        <v>178</v>
      </c>
      <c r="R83" s="300" t="s">
        <v>179</v>
      </c>
      <c r="S83" s="300" t="s">
        <v>180</v>
      </c>
      <c r="T83" s="300"/>
      <c r="V83" s="298" t="s">
        <v>183</v>
      </c>
      <c r="W83" s="299"/>
      <c r="X83" s="300" t="s">
        <v>175</v>
      </c>
      <c r="Y83" s="300" t="s">
        <v>176</v>
      </c>
      <c r="Z83" s="300" t="s">
        <v>177</v>
      </c>
      <c r="AA83" s="300" t="s">
        <v>178</v>
      </c>
      <c r="AB83" s="300" t="s">
        <v>179</v>
      </c>
      <c r="AC83" s="300" t="s">
        <v>180</v>
      </c>
      <c r="AD83" s="300"/>
      <c r="AF83" s="298" t="s">
        <v>183</v>
      </c>
      <c r="AG83" s="299"/>
      <c r="AH83" s="300" t="s">
        <v>175</v>
      </c>
      <c r="AI83" s="300" t="s">
        <v>176</v>
      </c>
      <c r="AJ83" s="300" t="s">
        <v>177</v>
      </c>
      <c r="AK83" s="300" t="s">
        <v>178</v>
      </c>
      <c r="AL83" s="300" t="s">
        <v>179</v>
      </c>
      <c r="AM83" s="300" t="s">
        <v>180</v>
      </c>
      <c r="AN83" s="300"/>
      <c r="AP83" s="298" t="s">
        <v>183</v>
      </c>
      <c r="AQ83" s="299"/>
      <c r="AR83" s="300" t="s">
        <v>175</v>
      </c>
      <c r="AS83" s="300" t="s">
        <v>176</v>
      </c>
      <c r="AT83" s="300" t="s">
        <v>177</v>
      </c>
      <c r="AU83" s="300" t="s">
        <v>178</v>
      </c>
      <c r="AV83" s="300" t="s">
        <v>179</v>
      </c>
      <c r="AW83" s="300" t="s">
        <v>180</v>
      </c>
      <c r="AX83" s="300"/>
      <c r="BA83" s="298" t="s">
        <v>183</v>
      </c>
      <c r="BB83" s="299"/>
      <c r="BC83" s="300" t="s">
        <v>175</v>
      </c>
      <c r="BD83" s="300" t="s">
        <v>176</v>
      </c>
      <c r="BE83" s="300" t="s">
        <v>177</v>
      </c>
      <c r="BF83" s="300" t="s">
        <v>178</v>
      </c>
      <c r="BG83" s="300" t="s">
        <v>179</v>
      </c>
      <c r="BH83" s="300" t="s">
        <v>180</v>
      </c>
      <c r="BI83" s="300"/>
      <c r="BL83" s="298" t="s">
        <v>183</v>
      </c>
      <c r="BM83" s="299"/>
      <c r="BN83" s="300" t="s">
        <v>175</v>
      </c>
      <c r="BO83" s="300" t="s">
        <v>176</v>
      </c>
      <c r="BP83" s="300" t="s">
        <v>177</v>
      </c>
      <c r="BQ83" s="300" t="s">
        <v>178</v>
      </c>
      <c r="BR83" s="300" t="s">
        <v>179</v>
      </c>
      <c r="BS83" s="300" t="s">
        <v>180</v>
      </c>
      <c r="BT83" s="300"/>
      <c r="BW83" s="298" t="s">
        <v>183</v>
      </c>
      <c r="BX83" s="299"/>
      <c r="BY83" s="300" t="s">
        <v>175</v>
      </c>
      <c r="BZ83" s="300" t="s">
        <v>176</v>
      </c>
      <c r="CA83" s="300" t="s">
        <v>177</v>
      </c>
      <c r="CB83" s="300" t="s">
        <v>178</v>
      </c>
      <c r="CC83" s="300" t="s">
        <v>179</v>
      </c>
      <c r="CD83" s="300" t="s">
        <v>180</v>
      </c>
      <c r="CE83" s="300"/>
      <c r="CH83" s="298" t="s">
        <v>183</v>
      </c>
      <c r="CI83" s="299"/>
      <c r="CJ83" s="300" t="s">
        <v>175</v>
      </c>
      <c r="CK83" s="300" t="s">
        <v>176</v>
      </c>
      <c r="CL83" s="300" t="s">
        <v>177</v>
      </c>
      <c r="CM83" s="300" t="s">
        <v>178</v>
      </c>
      <c r="CN83" s="300" t="s">
        <v>179</v>
      </c>
      <c r="CO83" s="300" t="s">
        <v>180</v>
      </c>
      <c r="CP83" s="300"/>
      <c r="CS83" s="298" t="s">
        <v>183</v>
      </c>
      <c r="CT83" s="299"/>
      <c r="CU83" s="300" t="s">
        <v>175</v>
      </c>
      <c r="CV83" s="300" t="s">
        <v>176</v>
      </c>
      <c r="CW83" s="300" t="s">
        <v>177</v>
      </c>
      <c r="CX83" s="300" t="s">
        <v>178</v>
      </c>
      <c r="CY83" s="300" t="s">
        <v>179</v>
      </c>
      <c r="CZ83" s="300" t="s">
        <v>180</v>
      </c>
      <c r="DA83" s="300"/>
      <c r="DD83" s="298" t="s">
        <v>183</v>
      </c>
      <c r="DE83" s="299"/>
      <c r="DF83" s="300" t="s">
        <v>175</v>
      </c>
      <c r="DG83" s="300" t="s">
        <v>176</v>
      </c>
      <c r="DH83" s="300" t="s">
        <v>177</v>
      </c>
      <c r="DI83" s="300" t="s">
        <v>178</v>
      </c>
      <c r="DJ83" s="300" t="s">
        <v>179</v>
      </c>
      <c r="DK83" s="300" t="s">
        <v>180</v>
      </c>
      <c r="DL83" s="300"/>
      <c r="DO83" s="298" t="s">
        <v>183</v>
      </c>
      <c r="DP83" s="299"/>
      <c r="DQ83" s="300" t="s">
        <v>175</v>
      </c>
      <c r="DR83" s="300" t="s">
        <v>176</v>
      </c>
      <c r="DS83" s="300" t="s">
        <v>177</v>
      </c>
      <c r="DT83" s="300" t="s">
        <v>178</v>
      </c>
      <c r="DU83" s="300" t="s">
        <v>179</v>
      </c>
      <c r="DV83" s="300" t="s">
        <v>180</v>
      </c>
      <c r="DW83" s="300"/>
    </row>
    <row r="84" spans="2:127">
      <c r="B84" s="298">
        <f>SUM(G85:G92)</f>
        <v>709926.77630000003</v>
      </c>
      <c r="C84" s="299" t="s">
        <v>657</v>
      </c>
      <c r="D84" s="300"/>
      <c r="E84" s="300"/>
      <c r="F84" s="300" t="s">
        <v>181</v>
      </c>
      <c r="G84" s="300" t="s">
        <v>181</v>
      </c>
      <c r="H84" s="300" t="s">
        <v>86</v>
      </c>
      <c r="I84" s="300" t="s">
        <v>119</v>
      </c>
      <c r="J84" s="300"/>
      <c r="L84" s="298">
        <f>SUM(Q85:Q92)</f>
        <v>515857.46240000002</v>
      </c>
      <c r="M84" s="299" t="s">
        <v>657</v>
      </c>
      <c r="N84" s="300"/>
      <c r="O84" s="300"/>
      <c r="P84" s="300" t="s">
        <v>181</v>
      </c>
      <c r="Q84" s="300" t="s">
        <v>181</v>
      </c>
      <c r="R84" s="300" t="s">
        <v>86</v>
      </c>
      <c r="S84" s="300" t="s">
        <v>119</v>
      </c>
      <c r="T84" s="300"/>
      <c r="V84" s="298">
        <f>SUM(AA85:AA92)</f>
        <v>394300.05609999999</v>
      </c>
      <c r="W84" s="299" t="s">
        <v>657</v>
      </c>
      <c r="X84" s="300"/>
      <c r="Y84" s="300"/>
      <c r="Z84" s="300" t="s">
        <v>181</v>
      </c>
      <c r="AA84" s="300" t="s">
        <v>181</v>
      </c>
      <c r="AB84" s="300" t="s">
        <v>86</v>
      </c>
      <c r="AC84" s="300" t="s">
        <v>119</v>
      </c>
      <c r="AD84" s="300"/>
      <c r="AF84" s="298">
        <f>SUM(AK85:AK92)</f>
        <v>1266611</v>
      </c>
      <c r="AG84" s="299" t="s">
        <v>657</v>
      </c>
      <c r="AH84" s="300"/>
      <c r="AI84" s="300"/>
      <c r="AJ84" s="300" t="s">
        <v>181</v>
      </c>
      <c r="AK84" s="300" t="s">
        <v>181</v>
      </c>
      <c r="AL84" s="300" t="s">
        <v>86</v>
      </c>
      <c r="AM84" s="300" t="s">
        <v>119</v>
      </c>
      <c r="AN84" s="300"/>
      <c r="AP84" s="298">
        <f>SUM(AU85:AU92)</f>
        <v>972955</v>
      </c>
      <c r="AQ84" s="299" t="s">
        <v>657</v>
      </c>
      <c r="AR84" s="300"/>
      <c r="AS84" s="300"/>
      <c r="AT84" s="300" t="s">
        <v>181</v>
      </c>
      <c r="AU84" s="300" t="s">
        <v>181</v>
      </c>
      <c r="AV84" s="300" t="s">
        <v>86</v>
      </c>
      <c r="AW84" s="300" t="s">
        <v>119</v>
      </c>
      <c r="AX84" s="300"/>
      <c r="BA84" s="298">
        <f>SUM(BF85:BF92)</f>
        <v>1126215</v>
      </c>
      <c r="BB84" s="299" t="s">
        <v>657</v>
      </c>
      <c r="BC84" s="300"/>
      <c r="BD84" s="300"/>
      <c r="BE84" s="300" t="s">
        <v>181</v>
      </c>
      <c r="BF84" s="300" t="s">
        <v>181</v>
      </c>
      <c r="BG84" s="300" t="s">
        <v>86</v>
      </c>
      <c r="BH84" s="300" t="s">
        <v>119</v>
      </c>
      <c r="BI84" s="300"/>
      <c r="BL84" s="298">
        <f>SUM(BQ85:BQ92)</f>
        <v>1283152</v>
      </c>
      <c r="BM84" s="299" t="s">
        <v>657</v>
      </c>
      <c r="BN84" s="300"/>
      <c r="BO84" s="300"/>
      <c r="BP84" s="300" t="s">
        <v>181</v>
      </c>
      <c r="BQ84" s="300" t="s">
        <v>181</v>
      </c>
      <c r="BR84" s="300" t="s">
        <v>86</v>
      </c>
      <c r="BS84" s="300" t="s">
        <v>119</v>
      </c>
      <c r="BT84" s="300"/>
      <c r="BW84" s="298">
        <f>SUM(CB85:CB92)</f>
        <v>2644721</v>
      </c>
      <c r="BX84" s="299" t="s">
        <v>657</v>
      </c>
      <c r="BY84" s="300"/>
      <c r="BZ84" s="300"/>
      <c r="CA84" s="300" t="s">
        <v>181</v>
      </c>
      <c r="CB84" s="300" t="s">
        <v>181</v>
      </c>
      <c r="CC84" s="300" t="s">
        <v>86</v>
      </c>
      <c r="CD84" s="300" t="s">
        <v>119</v>
      </c>
      <c r="CE84" s="300"/>
      <c r="CH84" s="298">
        <f>SUM(CM85:CM92)</f>
        <v>3119461</v>
      </c>
      <c r="CI84" s="299" t="s">
        <v>657</v>
      </c>
      <c r="CJ84" s="300"/>
      <c r="CK84" s="300"/>
      <c r="CL84" s="300" t="s">
        <v>181</v>
      </c>
      <c r="CM84" s="300" t="s">
        <v>181</v>
      </c>
      <c r="CN84" s="300" t="s">
        <v>86</v>
      </c>
      <c r="CO84" s="300" t="s">
        <v>119</v>
      </c>
      <c r="CP84" s="300"/>
      <c r="CS84" s="298">
        <f>SUM(CX85:CX92)</f>
        <v>3517352</v>
      </c>
      <c r="CT84" s="299" t="s">
        <v>657</v>
      </c>
      <c r="CU84" s="300"/>
      <c r="CV84" s="300"/>
      <c r="CW84" s="300" t="s">
        <v>181</v>
      </c>
      <c r="CX84" s="300" t="s">
        <v>181</v>
      </c>
      <c r="CY84" s="300" t="s">
        <v>86</v>
      </c>
      <c r="CZ84" s="300" t="s">
        <v>119</v>
      </c>
      <c r="DA84" s="300"/>
      <c r="DD84" s="298">
        <f>SUM(DI85:DI92)</f>
        <v>4499421</v>
      </c>
      <c r="DE84" s="299" t="s">
        <v>657</v>
      </c>
      <c r="DF84" s="300"/>
      <c r="DG84" s="300"/>
      <c r="DH84" s="300" t="s">
        <v>181</v>
      </c>
      <c r="DI84" s="300" t="s">
        <v>181</v>
      </c>
      <c r="DJ84" s="300" t="s">
        <v>86</v>
      </c>
      <c r="DK84" s="300" t="s">
        <v>119</v>
      </c>
      <c r="DL84" s="300"/>
      <c r="DO84" s="298">
        <f>SUM(DT85:DT92)</f>
        <v>3518176</v>
      </c>
      <c r="DP84" s="299" t="s">
        <v>657</v>
      </c>
      <c r="DQ84" s="300"/>
      <c r="DR84" s="300"/>
      <c r="DS84" s="300" t="s">
        <v>181</v>
      </c>
      <c r="DT84" s="300" t="s">
        <v>181</v>
      </c>
      <c r="DU84" s="300" t="s">
        <v>86</v>
      </c>
      <c r="DV84" s="300" t="s">
        <v>119</v>
      </c>
      <c r="DW84" s="300"/>
    </row>
    <row r="85" spans="2:127">
      <c r="B85" s="298"/>
      <c r="C85" s="299"/>
      <c r="D85" s="300" t="s">
        <v>789</v>
      </c>
      <c r="E85" s="300" t="s">
        <v>788</v>
      </c>
      <c r="F85" s="301">
        <v>524990</v>
      </c>
      <c r="G85" s="300">
        <v>524990</v>
      </c>
      <c r="H85" s="300">
        <v>40686.699999999997</v>
      </c>
      <c r="I85" s="300">
        <v>182121</v>
      </c>
      <c r="J85" s="300"/>
      <c r="L85" s="298"/>
      <c r="M85" s="299"/>
      <c r="N85" s="300" t="s">
        <v>789</v>
      </c>
      <c r="O85" s="300" t="s">
        <v>788</v>
      </c>
      <c r="P85" s="301">
        <v>270842</v>
      </c>
      <c r="Q85" s="301">
        <v>270842</v>
      </c>
      <c r="R85" s="300">
        <v>20990.2</v>
      </c>
      <c r="S85" s="300">
        <v>93955.8</v>
      </c>
      <c r="T85" s="300"/>
      <c r="V85" s="298"/>
      <c r="W85" s="299"/>
      <c r="X85" s="300" t="s">
        <v>789</v>
      </c>
      <c r="Y85" s="300" t="s">
        <v>788</v>
      </c>
      <c r="Z85" s="301">
        <v>138593</v>
      </c>
      <c r="AA85" s="301">
        <v>138593</v>
      </c>
      <c r="AB85" s="300">
        <v>10740.9</v>
      </c>
      <c r="AC85" s="301">
        <v>48078.2</v>
      </c>
      <c r="AD85" s="300"/>
      <c r="AF85" s="298"/>
      <c r="AG85" s="299"/>
      <c r="AH85" s="300" t="s">
        <v>789</v>
      </c>
      <c r="AI85" s="300" t="s">
        <v>788</v>
      </c>
      <c r="AJ85" s="301">
        <v>1121210</v>
      </c>
      <c r="AK85" s="301">
        <v>1121210</v>
      </c>
      <c r="AL85" s="300">
        <v>86893.5</v>
      </c>
      <c r="AM85" s="300">
        <v>388950</v>
      </c>
      <c r="AN85" s="300"/>
      <c r="AP85" s="298"/>
      <c r="AQ85" s="299"/>
      <c r="AR85" s="300" t="s">
        <v>789</v>
      </c>
      <c r="AS85" s="300" t="s">
        <v>788</v>
      </c>
      <c r="AT85" s="301">
        <v>861293</v>
      </c>
      <c r="AU85" s="301">
        <v>861293</v>
      </c>
      <c r="AV85" s="300">
        <v>66750.2</v>
      </c>
      <c r="AW85" s="300">
        <v>298785</v>
      </c>
      <c r="AX85" s="300"/>
      <c r="BA85" s="298"/>
      <c r="BB85" s="299"/>
      <c r="BC85" s="300" t="s">
        <v>789</v>
      </c>
      <c r="BD85" s="300" t="s">
        <v>788</v>
      </c>
      <c r="BE85" s="301">
        <v>996969</v>
      </c>
      <c r="BF85" s="301">
        <v>996969</v>
      </c>
      <c r="BG85" s="300">
        <v>77265.100000000006</v>
      </c>
      <c r="BH85" s="300">
        <v>345852</v>
      </c>
      <c r="BI85" s="300"/>
      <c r="BL85" s="298"/>
      <c r="BM85" s="299"/>
      <c r="BN85" s="300" t="s">
        <v>789</v>
      </c>
      <c r="BO85" s="300" t="s">
        <v>788</v>
      </c>
      <c r="BP85" s="301">
        <v>1135900</v>
      </c>
      <c r="BQ85" s="301">
        <v>1135900</v>
      </c>
      <c r="BR85" s="300">
        <v>88032.1</v>
      </c>
      <c r="BS85" s="300">
        <v>394047</v>
      </c>
      <c r="BT85" s="300"/>
      <c r="BW85" s="298"/>
      <c r="BX85" s="299"/>
      <c r="BY85" s="300" t="s">
        <v>789</v>
      </c>
      <c r="BZ85" s="300" t="s">
        <v>788</v>
      </c>
      <c r="CA85" s="301">
        <v>2341140</v>
      </c>
      <c r="CB85" s="301">
        <v>2341140</v>
      </c>
      <c r="CC85" s="300">
        <v>181438</v>
      </c>
      <c r="CD85" s="300">
        <v>812149</v>
      </c>
      <c r="CE85" s="300"/>
      <c r="CH85" s="298"/>
      <c r="CI85" s="299"/>
      <c r="CJ85" s="300" t="s">
        <v>789</v>
      </c>
      <c r="CK85" s="300" t="s">
        <v>788</v>
      </c>
      <c r="CL85" s="301">
        <v>2761390</v>
      </c>
      <c r="CM85" s="301">
        <v>2761390</v>
      </c>
      <c r="CN85" s="300">
        <v>214008</v>
      </c>
      <c r="CO85" s="301">
        <v>957934</v>
      </c>
      <c r="CP85" s="300"/>
      <c r="CS85" s="298"/>
      <c r="CT85" s="299"/>
      <c r="CU85" s="300" t="s">
        <v>789</v>
      </c>
      <c r="CV85" s="300" t="s">
        <v>788</v>
      </c>
      <c r="CW85" s="301">
        <v>3113630</v>
      </c>
      <c r="CX85" s="301">
        <v>3113630</v>
      </c>
      <c r="CY85" s="300">
        <v>241306</v>
      </c>
      <c r="CZ85" s="301">
        <v>1080130</v>
      </c>
      <c r="DA85" s="300"/>
      <c r="DD85" s="298"/>
      <c r="DE85" s="299"/>
      <c r="DF85" s="300" t="s">
        <v>789</v>
      </c>
      <c r="DG85" s="300" t="s">
        <v>788</v>
      </c>
      <c r="DH85" s="301">
        <v>3982950</v>
      </c>
      <c r="DI85" s="301">
        <v>3982950</v>
      </c>
      <c r="DJ85" s="300">
        <v>308678</v>
      </c>
      <c r="DK85" s="301">
        <v>1381700</v>
      </c>
      <c r="DL85" s="300"/>
      <c r="DO85" s="298"/>
      <c r="DP85" s="299"/>
      <c r="DQ85" s="300" t="s">
        <v>789</v>
      </c>
      <c r="DR85" s="300" t="s">
        <v>788</v>
      </c>
      <c r="DS85" s="301">
        <v>3114410</v>
      </c>
      <c r="DT85" s="301">
        <v>3114410</v>
      </c>
      <c r="DU85" s="300">
        <v>241367</v>
      </c>
      <c r="DV85" s="301">
        <v>1080400</v>
      </c>
      <c r="DW85" s="300"/>
    </row>
    <row r="86" spans="2:127">
      <c r="B86" s="298"/>
      <c r="C86" s="299"/>
      <c r="D86" s="300" t="s">
        <v>793</v>
      </c>
      <c r="E86" s="300" t="s">
        <v>788</v>
      </c>
      <c r="F86" s="301">
        <v>180589</v>
      </c>
      <c r="G86" s="301">
        <v>180589</v>
      </c>
      <c r="H86" s="301">
        <v>13995.7</v>
      </c>
      <c r="I86" s="301">
        <v>62646.9</v>
      </c>
      <c r="J86" s="300"/>
      <c r="L86" s="298"/>
      <c r="M86" s="299"/>
      <c r="N86" s="300" t="s">
        <v>793</v>
      </c>
      <c r="O86" s="300" t="s">
        <v>788</v>
      </c>
      <c r="P86" s="301">
        <v>240342</v>
      </c>
      <c r="Q86" s="301">
        <v>240342</v>
      </c>
      <c r="R86" s="301">
        <v>18626.5</v>
      </c>
      <c r="S86" s="301">
        <v>83375.5</v>
      </c>
      <c r="T86" s="300"/>
      <c r="V86" s="298"/>
      <c r="W86" s="299"/>
      <c r="X86" s="300" t="s">
        <v>793</v>
      </c>
      <c r="Y86" s="300" t="s">
        <v>788</v>
      </c>
      <c r="Z86" s="301">
        <v>248327</v>
      </c>
      <c r="AA86" s="301">
        <v>248327</v>
      </c>
      <c r="AB86" s="301">
        <v>19245.3</v>
      </c>
      <c r="AC86" s="301">
        <v>86145.4</v>
      </c>
      <c r="AD86" s="300"/>
      <c r="AF86" s="298"/>
      <c r="AG86" s="299"/>
      <c r="AH86" s="300" t="s">
        <v>793</v>
      </c>
      <c r="AI86" s="300" t="s">
        <v>788</v>
      </c>
      <c r="AJ86" s="301">
        <v>145401</v>
      </c>
      <c r="AK86" s="301">
        <v>145401</v>
      </c>
      <c r="AL86" s="301">
        <v>11268.6</v>
      </c>
      <c r="AM86" s="301">
        <v>50440.1</v>
      </c>
      <c r="AN86" s="300"/>
      <c r="AP86" s="298"/>
      <c r="AQ86" s="299"/>
      <c r="AR86" s="300" t="s">
        <v>793</v>
      </c>
      <c r="AS86" s="300" t="s">
        <v>788</v>
      </c>
      <c r="AT86" s="301">
        <v>111662</v>
      </c>
      <c r="AU86" s="301">
        <v>111662</v>
      </c>
      <c r="AV86" s="301">
        <v>8653.81</v>
      </c>
      <c r="AW86" s="301">
        <v>38735.9</v>
      </c>
      <c r="AX86" s="300"/>
      <c r="BA86" s="298"/>
      <c r="BB86" s="299"/>
      <c r="BC86" s="300" t="s">
        <v>793</v>
      </c>
      <c r="BD86" s="300" t="s">
        <v>788</v>
      </c>
      <c r="BE86" s="301">
        <v>129246</v>
      </c>
      <c r="BF86" s="301">
        <v>129246</v>
      </c>
      <c r="BG86" s="301">
        <v>10016.6</v>
      </c>
      <c r="BH86" s="301">
        <v>44835.8</v>
      </c>
      <c r="BI86" s="300"/>
      <c r="BL86" s="298"/>
      <c r="BM86" s="299"/>
      <c r="BN86" s="300" t="s">
        <v>793</v>
      </c>
      <c r="BO86" s="300" t="s">
        <v>788</v>
      </c>
      <c r="BP86" s="301">
        <v>147252</v>
      </c>
      <c r="BQ86" s="301">
        <v>147252</v>
      </c>
      <c r="BR86" s="301">
        <v>11412.1</v>
      </c>
      <c r="BS86" s="301">
        <v>51082.3</v>
      </c>
      <c r="BT86" s="300"/>
      <c r="BW86" s="298"/>
      <c r="BX86" s="299"/>
      <c r="BY86" s="300" t="s">
        <v>793</v>
      </c>
      <c r="BZ86" s="300" t="s">
        <v>788</v>
      </c>
      <c r="CA86" s="301">
        <v>303581</v>
      </c>
      <c r="CB86" s="301">
        <v>303581</v>
      </c>
      <c r="CC86" s="301">
        <v>23527.5</v>
      </c>
      <c r="CD86" s="301">
        <v>105313</v>
      </c>
      <c r="CE86" s="300"/>
      <c r="CH86" s="298"/>
      <c r="CI86" s="299"/>
      <c r="CJ86" s="300" t="s">
        <v>793</v>
      </c>
      <c r="CK86" s="300" t="s">
        <v>788</v>
      </c>
      <c r="CL86" s="301">
        <v>358071</v>
      </c>
      <c r="CM86" s="301">
        <v>358071</v>
      </c>
      <c r="CN86" s="301">
        <v>27750.5</v>
      </c>
      <c r="CO86" s="301">
        <v>124216</v>
      </c>
      <c r="CP86" s="300"/>
      <c r="CS86" s="298"/>
      <c r="CT86" s="299"/>
      <c r="CU86" s="300" t="s">
        <v>793</v>
      </c>
      <c r="CV86" s="300" t="s">
        <v>788</v>
      </c>
      <c r="CW86" s="301">
        <v>403722</v>
      </c>
      <c r="CX86" s="301">
        <v>403722</v>
      </c>
      <c r="CY86" s="301">
        <v>31288.5</v>
      </c>
      <c r="CZ86" s="301">
        <v>140053</v>
      </c>
      <c r="DA86" s="300"/>
      <c r="DD86" s="298"/>
      <c r="DE86" s="299"/>
      <c r="DF86" s="300" t="s">
        <v>793</v>
      </c>
      <c r="DG86" s="300" t="s">
        <v>788</v>
      </c>
      <c r="DH86" s="301">
        <v>516471</v>
      </c>
      <c r="DI86" s="301">
        <v>516471</v>
      </c>
      <c r="DJ86" s="301">
        <v>40026.5</v>
      </c>
      <c r="DK86" s="301">
        <v>179165</v>
      </c>
      <c r="DL86" s="300"/>
      <c r="DO86" s="298"/>
      <c r="DP86" s="299"/>
      <c r="DQ86" s="300" t="s">
        <v>793</v>
      </c>
      <c r="DR86" s="300" t="s">
        <v>788</v>
      </c>
      <c r="DS86" s="301">
        <v>403766</v>
      </c>
      <c r="DT86" s="301">
        <v>403766</v>
      </c>
      <c r="DU86" s="301">
        <v>31291.8</v>
      </c>
      <c r="DV86" s="301">
        <v>140068</v>
      </c>
      <c r="DW86" s="300"/>
    </row>
    <row r="87" spans="2:127">
      <c r="B87" s="298"/>
      <c r="C87" s="299"/>
      <c r="D87" s="764" t="s">
        <v>1128</v>
      </c>
      <c r="E87" s="764" t="s">
        <v>929</v>
      </c>
      <c r="F87" s="765">
        <v>21.346299999999999</v>
      </c>
      <c r="G87" s="764">
        <v>21.346299999999999</v>
      </c>
      <c r="H87" s="764">
        <v>1.6543399999999999</v>
      </c>
      <c r="I87" s="764">
        <v>7.4050900000000004</v>
      </c>
      <c r="J87" s="300"/>
      <c r="L87" s="298"/>
      <c r="M87" s="299"/>
      <c r="N87" s="764" t="s">
        <v>1128</v>
      </c>
      <c r="O87" s="764" t="s">
        <v>929</v>
      </c>
      <c r="P87" s="765">
        <v>22.702400000000001</v>
      </c>
      <c r="Q87" s="764">
        <v>22.702400000000001</v>
      </c>
      <c r="R87" s="764">
        <v>1.75943</v>
      </c>
      <c r="S87" s="764">
        <v>7.8755300000000004</v>
      </c>
      <c r="T87" s="300"/>
      <c r="V87" s="298"/>
      <c r="W87" s="299"/>
      <c r="X87" s="764" t="s">
        <v>1128</v>
      </c>
      <c r="Y87" s="764" t="s">
        <v>929</v>
      </c>
      <c r="Z87" s="765">
        <v>34.436100000000003</v>
      </c>
      <c r="AA87" s="764">
        <v>34.436100000000003</v>
      </c>
      <c r="AB87" s="764">
        <v>2.6688000000000001</v>
      </c>
      <c r="AC87" s="764">
        <v>11.946</v>
      </c>
      <c r="AD87" s="300"/>
      <c r="AF87" s="298"/>
      <c r="AG87" s="299"/>
      <c r="AH87" s="764"/>
      <c r="AI87" s="764"/>
      <c r="AJ87" s="765"/>
      <c r="AK87" s="764"/>
      <c r="AL87" s="764"/>
      <c r="AM87" s="764"/>
      <c r="AN87" s="300"/>
      <c r="AP87" s="298"/>
      <c r="AQ87" s="299"/>
      <c r="AR87" s="764"/>
      <c r="AS87" s="764"/>
      <c r="AT87" s="765"/>
      <c r="AU87" s="764"/>
      <c r="AV87" s="764"/>
      <c r="AW87" s="764"/>
      <c r="AX87" s="300"/>
      <c r="BA87" s="298"/>
      <c r="BB87" s="299"/>
      <c r="BC87" s="764"/>
      <c r="BD87" s="764"/>
      <c r="BE87" s="765"/>
      <c r="BF87" s="764"/>
      <c r="BG87" s="764"/>
      <c r="BH87" s="764"/>
      <c r="BI87" s="300"/>
      <c r="BL87" s="298"/>
      <c r="BM87" s="299"/>
      <c r="BN87" s="764"/>
      <c r="BO87" s="764"/>
      <c r="BP87" s="765"/>
      <c r="BQ87" s="764"/>
      <c r="BR87" s="764"/>
      <c r="BS87" s="764"/>
      <c r="BT87" s="300"/>
      <c r="BW87" s="298"/>
      <c r="BX87" s="299"/>
      <c r="BY87" s="764"/>
      <c r="BZ87" s="764"/>
      <c r="CA87" s="765"/>
      <c r="CB87" s="764"/>
      <c r="CC87" s="764"/>
      <c r="CD87" s="764"/>
      <c r="CE87" s="300"/>
      <c r="CH87" s="298"/>
      <c r="CI87" s="299"/>
      <c r="CJ87" s="764"/>
      <c r="CK87" s="764"/>
      <c r="CL87" s="765"/>
      <c r="CM87" s="764"/>
      <c r="CN87" s="764"/>
      <c r="CO87" s="764"/>
      <c r="CP87" s="300"/>
      <c r="CS87" s="298"/>
      <c r="CT87" s="299"/>
      <c r="CU87" s="764"/>
      <c r="CV87" s="764"/>
      <c r="CW87" s="765"/>
      <c r="CX87" s="764"/>
      <c r="CY87" s="764"/>
      <c r="CZ87" s="764"/>
      <c r="DA87" s="300"/>
      <c r="DD87" s="298"/>
      <c r="DE87" s="299"/>
      <c r="DF87" s="764"/>
      <c r="DG87" s="764"/>
      <c r="DH87" s="765"/>
      <c r="DI87" s="764"/>
      <c r="DJ87" s="764"/>
      <c r="DK87" s="764"/>
      <c r="DL87" s="300"/>
      <c r="DO87" s="298"/>
      <c r="DP87" s="299"/>
      <c r="DQ87" s="764"/>
      <c r="DR87" s="764"/>
      <c r="DS87" s="765"/>
      <c r="DT87" s="764"/>
      <c r="DU87" s="764"/>
      <c r="DV87" s="764"/>
      <c r="DW87" s="300"/>
    </row>
    <row r="88" spans="2:127">
      <c r="B88" s="298"/>
      <c r="C88" s="299"/>
      <c r="D88" s="884" t="s">
        <v>1248</v>
      </c>
      <c r="E88" s="884" t="s">
        <v>182</v>
      </c>
      <c r="F88" s="888">
        <v>4326.43</v>
      </c>
      <c r="G88" s="884">
        <v>4326.43</v>
      </c>
      <c r="H88" s="884">
        <v>335.298</v>
      </c>
      <c r="I88" s="884">
        <v>1500.85</v>
      </c>
      <c r="J88" s="300"/>
      <c r="L88" s="298"/>
      <c r="M88" s="299"/>
      <c r="N88" s="884" t="s">
        <v>1248</v>
      </c>
      <c r="O88" s="884" t="s">
        <v>182</v>
      </c>
      <c r="P88" s="888">
        <v>4650.76</v>
      </c>
      <c r="Q88" s="884">
        <v>4650.76</v>
      </c>
      <c r="R88" s="884">
        <v>360.43400000000003</v>
      </c>
      <c r="S88" s="884">
        <v>1613.36</v>
      </c>
      <c r="T88" s="300"/>
      <c r="V88" s="298"/>
      <c r="W88" s="299"/>
      <c r="X88" s="889" t="s">
        <v>1248</v>
      </c>
      <c r="Y88" s="889" t="s">
        <v>182</v>
      </c>
      <c r="Z88" s="890">
        <v>7345.62</v>
      </c>
      <c r="AA88" s="889">
        <v>7345.62</v>
      </c>
      <c r="AB88" s="889">
        <v>569.28499999999997</v>
      </c>
      <c r="AC88" s="889">
        <v>2548.2199999999998</v>
      </c>
      <c r="AD88" s="300"/>
      <c r="AF88" s="298"/>
      <c r="AG88" s="299"/>
      <c r="AH88" s="827"/>
      <c r="AI88" s="827"/>
      <c r="AJ88" s="828"/>
      <c r="AK88" s="827"/>
      <c r="AL88" s="827"/>
      <c r="AM88" s="827"/>
      <c r="AN88" s="300"/>
      <c r="AP88" s="298"/>
      <c r="AQ88" s="299"/>
      <c r="AR88" s="827"/>
      <c r="AS88" s="827"/>
      <c r="AT88" s="828"/>
      <c r="AU88" s="827"/>
      <c r="AV88" s="827"/>
      <c r="AW88" s="827"/>
      <c r="AX88" s="300"/>
      <c r="BA88" s="298"/>
      <c r="BB88" s="299"/>
      <c r="BC88" s="827"/>
      <c r="BD88" s="827"/>
      <c r="BE88" s="828"/>
      <c r="BF88" s="827"/>
      <c r="BG88" s="827"/>
      <c r="BH88" s="827"/>
      <c r="BI88" s="300"/>
      <c r="BL88" s="298"/>
      <c r="BM88" s="299"/>
      <c r="BN88" s="827"/>
      <c r="BO88" s="827"/>
      <c r="BP88" s="828"/>
      <c r="BQ88" s="827"/>
      <c r="BR88" s="827"/>
      <c r="BS88" s="827"/>
      <c r="BT88" s="300"/>
      <c r="BW88" s="298"/>
      <c r="BX88" s="299"/>
      <c r="BY88" s="827"/>
      <c r="BZ88" s="827"/>
      <c r="CA88" s="828"/>
      <c r="CB88" s="827"/>
      <c r="CC88" s="827"/>
      <c r="CD88" s="827"/>
      <c r="CE88" s="300"/>
      <c r="CH88" s="298"/>
      <c r="CI88" s="299"/>
      <c r="CJ88" s="827"/>
      <c r="CK88" s="827"/>
      <c r="CL88" s="828"/>
      <c r="CM88" s="827"/>
      <c r="CN88" s="827"/>
      <c r="CO88" s="827"/>
      <c r="CP88" s="300"/>
      <c r="CS88" s="298"/>
      <c r="CT88" s="299"/>
      <c r="CU88" s="827"/>
      <c r="CV88" s="827"/>
      <c r="CW88" s="828"/>
      <c r="CX88" s="827"/>
      <c r="CY88" s="827"/>
      <c r="CZ88" s="827"/>
      <c r="DA88" s="300"/>
      <c r="DD88" s="298"/>
      <c r="DE88" s="299"/>
      <c r="DF88" s="827"/>
      <c r="DG88" s="827"/>
      <c r="DH88" s="828"/>
      <c r="DI88" s="827"/>
      <c r="DJ88" s="827"/>
      <c r="DK88" s="827"/>
      <c r="DL88" s="300"/>
      <c r="DO88" s="298"/>
      <c r="DP88" s="299"/>
      <c r="DQ88" s="827"/>
      <c r="DR88" s="827"/>
      <c r="DS88" s="828"/>
      <c r="DT88" s="827"/>
      <c r="DU88" s="827"/>
      <c r="DV88" s="827"/>
      <c r="DW88" s="300"/>
    </row>
    <row r="89" spans="2:127">
      <c r="B89" s="298"/>
      <c r="C89" s="299"/>
      <c r="D89" s="300"/>
      <c r="E89" s="300"/>
      <c r="F89" s="301"/>
      <c r="G89" s="300"/>
      <c r="H89" s="300"/>
      <c r="I89" s="300"/>
      <c r="J89" s="300"/>
      <c r="L89" s="298"/>
      <c r="M89" s="299"/>
      <c r="N89" s="300"/>
      <c r="O89" s="300"/>
      <c r="P89" s="301"/>
      <c r="Q89" s="300"/>
      <c r="R89" s="300"/>
      <c r="S89" s="300"/>
      <c r="T89" s="300"/>
      <c r="V89" s="298"/>
      <c r="W89" s="299"/>
      <c r="X89" s="300"/>
      <c r="Y89" s="300"/>
      <c r="Z89" s="301"/>
      <c r="AA89" s="300"/>
      <c r="AB89" s="300"/>
      <c r="AC89" s="300"/>
      <c r="AD89" s="300"/>
      <c r="AF89" s="298"/>
      <c r="AG89" s="299"/>
      <c r="AH89" s="300"/>
      <c r="AI89" s="300"/>
      <c r="AJ89" s="301"/>
      <c r="AK89" s="300"/>
      <c r="AL89" s="300"/>
      <c r="AM89" s="300"/>
      <c r="AN89" s="300"/>
      <c r="AP89" s="298"/>
      <c r="AQ89" s="299"/>
      <c r="AR89" s="300"/>
      <c r="AS89" s="300"/>
      <c r="AT89" s="301"/>
      <c r="AU89" s="300"/>
      <c r="AV89" s="300"/>
      <c r="AW89" s="300"/>
      <c r="AX89" s="300"/>
      <c r="BA89" s="298"/>
      <c r="BB89" s="299"/>
      <c r="BC89" s="300"/>
      <c r="BD89" s="300"/>
      <c r="BE89" s="301"/>
      <c r="BF89" s="300"/>
      <c r="BG89" s="300"/>
      <c r="BH89" s="300"/>
      <c r="BI89" s="300"/>
      <c r="BL89" s="298"/>
      <c r="BM89" s="299"/>
      <c r="BN89" s="300"/>
      <c r="BO89" s="300"/>
      <c r="BP89" s="301"/>
      <c r="BQ89" s="300"/>
      <c r="BR89" s="300"/>
      <c r="BS89" s="300"/>
      <c r="BT89" s="300"/>
      <c r="BW89" s="298"/>
      <c r="BX89" s="299"/>
      <c r="BY89" s="300"/>
      <c r="BZ89" s="300"/>
      <c r="CA89" s="301"/>
      <c r="CB89" s="300"/>
      <c r="CC89" s="300"/>
      <c r="CD89" s="300"/>
      <c r="CE89" s="300"/>
      <c r="CH89" s="298"/>
      <c r="CI89" s="299"/>
      <c r="CJ89" s="300"/>
      <c r="CK89" s="300"/>
      <c r="CL89" s="301"/>
      <c r="CM89" s="300"/>
      <c r="CN89" s="300"/>
      <c r="CO89" s="300"/>
      <c r="CP89" s="300"/>
      <c r="CS89" s="298"/>
      <c r="CT89" s="299"/>
      <c r="CU89" s="300"/>
      <c r="CV89" s="300"/>
      <c r="CW89" s="301"/>
      <c r="CX89" s="300"/>
      <c r="CY89" s="300"/>
      <c r="CZ89" s="300"/>
      <c r="DA89" s="300"/>
      <c r="DD89" s="298"/>
      <c r="DE89" s="299"/>
      <c r="DF89" s="300"/>
      <c r="DG89" s="300"/>
      <c r="DH89" s="301"/>
      <c r="DI89" s="300"/>
      <c r="DJ89" s="300"/>
      <c r="DK89" s="300"/>
      <c r="DL89" s="300"/>
      <c r="DO89" s="298"/>
      <c r="DP89" s="299"/>
      <c r="DQ89" s="300"/>
      <c r="DR89" s="300"/>
      <c r="DS89" s="301"/>
      <c r="DT89" s="300"/>
      <c r="DU89" s="300"/>
      <c r="DV89" s="300"/>
      <c r="DW89" s="300"/>
    </row>
    <row r="90" spans="2:127">
      <c r="B90" s="298"/>
      <c r="C90" s="299"/>
      <c r="D90" s="300"/>
      <c r="E90" s="300"/>
      <c r="F90" s="301"/>
      <c r="G90" s="300"/>
      <c r="H90" s="300"/>
      <c r="I90" s="300"/>
      <c r="J90" s="300"/>
      <c r="L90" s="298"/>
      <c r="M90" s="299"/>
      <c r="N90" s="300"/>
      <c r="O90" s="300"/>
      <c r="P90" s="301"/>
      <c r="Q90" s="300"/>
      <c r="R90" s="300"/>
      <c r="S90" s="300"/>
      <c r="T90" s="300"/>
      <c r="V90" s="298"/>
      <c r="W90" s="299"/>
      <c r="X90" s="300"/>
      <c r="Y90" s="300"/>
      <c r="Z90" s="301"/>
      <c r="AA90" s="300"/>
      <c r="AB90" s="300"/>
      <c r="AC90" s="300"/>
      <c r="AD90" s="300"/>
      <c r="AF90" s="298"/>
      <c r="AG90" s="299"/>
      <c r="AH90" s="300"/>
      <c r="AI90" s="300"/>
      <c r="AJ90" s="301"/>
      <c r="AK90" s="300"/>
      <c r="AL90" s="300"/>
      <c r="AM90" s="300"/>
      <c r="AN90" s="300"/>
      <c r="AP90" s="298"/>
      <c r="AQ90" s="299"/>
      <c r="AR90" s="300"/>
      <c r="AS90" s="300"/>
      <c r="AT90" s="301"/>
      <c r="AU90" s="300"/>
      <c r="AV90" s="300"/>
      <c r="AW90" s="300"/>
      <c r="AX90" s="300"/>
      <c r="BA90" s="298"/>
      <c r="BB90" s="299"/>
      <c r="BC90" s="300"/>
      <c r="BD90" s="300"/>
      <c r="BE90" s="301"/>
      <c r="BF90" s="300"/>
      <c r="BG90" s="300"/>
      <c r="BH90" s="300"/>
      <c r="BI90" s="300"/>
      <c r="BL90" s="298"/>
      <c r="BM90" s="299"/>
      <c r="BN90" s="300"/>
      <c r="BO90" s="300"/>
      <c r="BP90" s="301"/>
      <c r="BQ90" s="300"/>
      <c r="BR90" s="300"/>
      <c r="BS90" s="300"/>
      <c r="BT90" s="300"/>
      <c r="BW90" s="298"/>
      <c r="BX90" s="299"/>
      <c r="BY90" s="300"/>
      <c r="BZ90" s="300"/>
      <c r="CA90" s="301"/>
      <c r="CB90" s="300"/>
      <c r="CC90" s="300"/>
      <c r="CD90" s="300"/>
      <c r="CE90" s="300"/>
      <c r="CH90" s="298"/>
      <c r="CI90" s="299"/>
      <c r="CJ90" s="300"/>
      <c r="CK90" s="300"/>
      <c r="CL90" s="301"/>
      <c r="CM90" s="300"/>
      <c r="CN90" s="300"/>
      <c r="CO90" s="300"/>
      <c r="CP90" s="300"/>
      <c r="CS90" s="298"/>
      <c r="CT90" s="299"/>
      <c r="CU90" s="300"/>
      <c r="CV90" s="300"/>
      <c r="CW90" s="301"/>
      <c r="CX90" s="300"/>
      <c r="CY90" s="300"/>
      <c r="CZ90" s="300"/>
      <c r="DA90" s="300"/>
      <c r="DD90" s="298"/>
      <c r="DE90" s="299"/>
      <c r="DF90" s="300"/>
      <c r="DG90" s="300"/>
      <c r="DH90" s="301"/>
      <c r="DI90" s="300"/>
      <c r="DJ90" s="300"/>
      <c r="DK90" s="300"/>
      <c r="DL90" s="300"/>
      <c r="DO90" s="298"/>
      <c r="DP90" s="299"/>
      <c r="DQ90" s="300"/>
      <c r="DR90" s="300"/>
      <c r="DS90" s="301"/>
      <c r="DT90" s="300"/>
      <c r="DU90" s="300"/>
      <c r="DV90" s="300"/>
      <c r="DW90" s="300"/>
    </row>
    <row r="91" spans="2:127">
      <c r="B91" s="298"/>
      <c r="C91" s="299"/>
      <c r="D91" s="300"/>
      <c r="E91" s="300"/>
      <c r="F91" s="300"/>
      <c r="G91" s="300"/>
      <c r="H91" s="300"/>
      <c r="I91" s="300"/>
      <c r="J91" s="300"/>
      <c r="L91" s="298"/>
      <c r="M91" s="299"/>
      <c r="N91" s="300"/>
      <c r="O91" s="300"/>
      <c r="P91" s="300"/>
      <c r="Q91" s="300"/>
      <c r="R91" s="300"/>
      <c r="S91" s="300"/>
      <c r="T91" s="300"/>
      <c r="V91" s="298"/>
      <c r="W91" s="299"/>
      <c r="X91" s="300"/>
      <c r="Y91" s="300"/>
      <c r="Z91" s="300"/>
      <c r="AA91" s="300"/>
      <c r="AB91" s="300"/>
      <c r="AC91" s="300"/>
      <c r="AD91" s="300"/>
      <c r="AF91" s="298"/>
      <c r="AG91" s="299"/>
      <c r="AH91" s="300"/>
      <c r="AI91" s="300"/>
      <c r="AJ91" s="300"/>
      <c r="AK91" s="300"/>
      <c r="AL91" s="300"/>
      <c r="AM91" s="300"/>
      <c r="AN91" s="300"/>
      <c r="AP91" s="298"/>
      <c r="AQ91" s="299"/>
      <c r="AR91" s="300"/>
      <c r="AS91" s="300"/>
      <c r="AT91" s="300"/>
      <c r="AU91" s="300"/>
      <c r="AV91" s="300"/>
      <c r="AW91" s="300"/>
      <c r="AX91" s="300"/>
      <c r="BA91" s="298"/>
      <c r="BB91" s="299"/>
      <c r="BC91" s="300"/>
      <c r="BD91" s="300"/>
      <c r="BE91" s="300"/>
      <c r="BF91" s="300"/>
      <c r="BG91" s="300"/>
      <c r="BH91" s="300"/>
      <c r="BI91" s="300"/>
      <c r="BL91" s="298"/>
      <c r="BM91" s="299"/>
      <c r="BN91" s="300"/>
      <c r="BO91" s="300"/>
      <c r="BP91" s="300"/>
      <c r="BQ91" s="300"/>
      <c r="BR91" s="300"/>
      <c r="BS91" s="300"/>
      <c r="BT91" s="300"/>
      <c r="BW91" s="298"/>
      <c r="BX91" s="299"/>
      <c r="BY91" s="300"/>
      <c r="BZ91" s="300"/>
      <c r="CA91" s="300"/>
      <c r="CB91" s="300"/>
      <c r="CC91" s="300"/>
      <c r="CD91" s="300"/>
      <c r="CE91" s="300"/>
      <c r="CH91" s="298"/>
      <c r="CI91" s="299"/>
      <c r="CJ91" s="300"/>
      <c r="CK91" s="300"/>
      <c r="CL91" s="300"/>
      <c r="CM91" s="300"/>
      <c r="CN91" s="300"/>
      <c r="CO91" s="300"/>
      <c r="CP91" s="300"/>
      <c r="CS91" s="298"/>
      <c r="CT91" s="299"/>
      <c r="CU91" s="300"/>
      <c r="CV91" s="300"/>
      <c r="CW91" s="300"/>
      <c r="CX91" s="300"/>
      <c r="CY91" s="300"/>
      <c r="CZ91" s="300"/>
      <c r="DA91" s="300"/>
      <c r="DD91" s="298"/>
      <c r="DE91" s="299"/>
      <c r="DF91" s="300"/>
      <c r="DG91" s="300"/>
      <c r="DH91" s="300"/>
      <c r="DI91" s="300"/>
      <c r="DJ91" s="300"/>
      <c r="DK91" s="300"/>
      <c r="DL91" s="300"/>
      <c r="DO91" s="298"/>
      <c r="DP91" s="299"/>
      <c r="DQ91" s="300"/>
      <c r="DR91" s="300"/>
      <c r="DS91" s="300"/>
      <c r="DT91" s="300"/>
      <c r="DU91" s="300"/>
      <c r="DV91" s="300"/>
      <c r="DW91" s="300"/>
    </row>
    <row r="92" spans="2:127">
      <c r="B92" s="298"/>
      <c r="C92" s="299"/>
      <c r="D92" s="300"/>
      <c r="E92" s="300"/>
      <c r="F92" s="300"/>
      <c r="G92" s="300"/>
      <c r="H92" s="301"/>
      <c r="I92" s="300"/>
      <c r="J92" s="300"/>
      <c r="L92" s="298"/>
      <c r="M92" s="299"/>
      <c r="N92" s="300"/>
      <c r="O92" s="300"/>
      <c r="P92" s="300"/>
      <c r="Q92" s="300"/>
      <c r="R92" s="301"/>
      <c r="S92" s="300"/>
      <c r="T92" s="300"/>
      <c r="V92" s="298"/>
      <c r="W92" s="299"/>
      <c r="X92" s="300"/>
      <c r="Y92" s="300"/>
      <c r="Z92" s="300"/>
      <c r="AA92" s="300"/>
      <c r="AB92" s="301"/>
      <c r="AC92" s="300"/>
      <c r="AD92" s="300"/>
      <c r="AF92" s="298"/>
      <c r="AG92" s="299"/>
      <c r="AH92" s="300"/>
      <c r="AI92" s="300"/>
      <c r="AJ92" s="300"/>
      <c r="AK92" s="300"/>
      <c r="AL92" s="301"/>
      <c r="AM92" s="300"/>
      <c r="AN92" s="300"/>
      <c r="AP92" s="298"/>
      <c r="AQ92" s="299"/>
      <c r="AR92" s="300"/>
      <c r="AS92" s="300"/>
      <c r="AT92" s="300"/>
      <c r="AU92" s="300"/>
      <c r="AV92" s="301"/>
      <c r="AW92" s="300"/>
      <c r="AX92" s="300"/>
      <c r="BA92" s="298"/>
      <c r="BB92" s="299"/>
      <c r="BC92" s="300"/>
      <c r="BD92" s="300"/>
      <c r="BE92" s="300"/>
      <c r="BF92" s="300"/>
      <c r="BG92" s="301"/>
      <c r="BH92" s="300"/>
      <c r="BI92" s="300"/>
      <c r="BL92" s="298"/>
      <c r="BM92" s="299"/>
      <c r="BN92" s="300"/>
      <c r="BO92" s="300"/>
      <c r="BP92" s="300"/>
      <c r="BQ92" s="300"/>
      <c r="BR92" s="301"/>
      <c r="BS92" s="300"/>
      <c r="BT92" s="300"/>
      <c r="BW92" s="298"/>
      <c r="BX92" s="299"/>
      <c r="BY92" s="300"/>
      <c r="BZ92" s="300"/>
      <c r="CA92" s="300"/>
      <c r="CB92" s="300"/>
      <c r="CC92" s="301"/>
      <c r="CD92" s="300"/>
      <c r="CE92" s="300"/>
      <c r="CH92" s="298"/>
      <c r="CI92" s="299"/>
      <c r="CJ92" s="300"/>
      <c r="CK92" s="300"/>
      <c r="CL92" s="300"/>
      <c r="CM92" s="300"/>
      <c r="CN92" s="301"/>
      <c r="CO92" s="300"/>
      <c r="CP92" s="300"/>
      <c r="CS92" s="298"/>
      <c r="CT92" s="299"/>
      <c r="CU92" s="300"/>
      <c r="CV92" s="300"/>
      <c r="CW92" s="300"/>
      <c r="CX92" s="300"/>
      <c r="CY92" s="301"/>
      <c r="CZ92" s="300"/>
      <c r="DA92" s="300"/>
      <c r="DD92" s="298"/>
      <c r="DE92" s="299"/>
      <c r="DF92" s="300"/>
      <c r="DG92" s="300"/>
      <c r="DH92" s="300"/>
      <c r="DI92" s="300"/>
      <c r="DJ92" s="301"/>
      <c r="DK92" s="300"/>
      <c r="DL92" s="300"/>
      <c r="DO92" s="298"/>
      <c r="DP92" s="299"/>
      <c r="DQ92" s="300"/>
      <c r="DR92" s="300"/>
      <c r="DS92" s="300"/>
      <c r="DT92" s="300"/>
      <c r="DU92" s="301"/>
      <c r="DV92" s="300"/>
      <c r="DW92" s="300"/>
    </row>
    <row r="93" spans="2:127">
      <c r="B93" s="294" t="s">
        <v>187</v>
      </c>
      <c r="C93" s="295"/>
      <c r="D93" s="296" t="s">
        <v>175</v>
      </c>
      <c r="E93" s="296" t="s">
        <v>176</v>
      </c>
      <c r="F93" s="296" t="s">
        <v>177</v>
      </c>
      <c r="G93" s="296" t="s">
        <v>178</v>
      </c>
      <c r="H93" s="296" t="s">
        <v>179</v>
      </c>
      <c r="I93" s="296" t="s">
        <v>180</v>
      </c>
      <c r="J93" s="296"/>
      <c r="L93" s="294" t="s">
        <v>187</v>
      </c>
      <c r="M93" s="295"/>
      <c r="N93" s="296" t="s">
        <v>175</v>
      </c>
      <c r="O93" s="296" t="s">
        <v>176</v>
      </c>
      <c r="P93" s="296" t="s">
        <v>177</v>
      </c>
      <c r="Q93" s="296" t="s">
        <v>178</v>
      </c>
      <c r="R93" s="296" t="s">
        <v>179</v>
      </c>
      <c r="S93" s="296" t="s">
        <v>180</v>
      </c>
      <c r="T93" s="296"/>
      <c r="V93" s="294" t="s">
        <v>187</v>
      </c>
      <c r="W93" s="295"/>
      <c r="X93" s="296" t="s">
        <v>175</v>
      </c>
      <c r="Y93" s="296" t="s">
        <v>176</v>
      </c>
      <c r="Z93" s="296" t="s">
        <v>177</v>
      </c>
      <c r="AA93" s="296" t="s">
        <v>178</v>
      </c>
      <c r="AB93" s="296" t="s">
        <v>179</v>
      </c>
      <c r="AC93" s="296" t="s">
        <v>180</v>
      </c>
      <c r="AD93" s="296"/>
      <c r="AF93" s="294" t="s">
        <v>187</v>
      </c>
      <c r="AG93" s="295"/>
      <c r="AH93" s="296" t="s">
        <v>175</v>
      </c>
      <c r="AI93" s="296" t="s">
        <v>176</v>
      </c>
      <c r="AJ93" s="296" t="s">
        <v>177</v>
      </c>
      <c r="AK93" s="296" t="s">
        <v>178</v>
      </c>
      <c r="AL93" s="296" t="s">
        <v>179</v>
      </c>
      <c r="AM93" s="296" t="s">
        <v>180</v>
      </c>
      <c r="AN93" s="296"/>
      <c r="AP93" s="294" t="s">
        <v>187</v>
      </c>
      <c r="AQ93" s="295"/>
      <c r="AR93" s="296" t="s">
        <v>175</v>
      </c>
      <c r="AS93" s="296" t="s">
        <v>176</v>
      </c>
      <c r="AT93" s="296" t="s">
        <v>177</v>
      </c>
      <c r="AU93" s="296" t="s">
        <v>178</v>
      </c>
      <c r="AV93" s="296" t="s">
        <v>179</v>
      </c>
      <c r="AW93" s="296" t="s">
        <v>180</v>
      </c>
      <c r="AX93" s="296"/>
      <c r="BA93" s="294" t="s">
        <v>187</v>
      </c>
      <c r="BB93" s="295"/>
      <c r="BC93" s="296" t="s">
        <v>175</v>
      </c>
      <c r="BD93" s="296" t="s">
        <v>176</v>
      </c>
      <c r="BE93" s="296" t="s">
        <v>177</v>
      </c>
      <c r="BF93" s="296" t="s">
        <v>178</v>
      </c>
      <c r="BG93" s="296" t="s">
        <v>179</v>
      </c>
      <c r="BH93" s="296" t="s">
        <v>180</v>
      </c>
      <c r="BI93" s="296"/>
      <c r="BL93" s="294" t="s">
        <v>187</v>
      </c>
      <c r="BM93" s="295"/>
      <c r="BN93" s="296" t="s">
        <v>175</v>
      </c>
      <c r="BO93" s="296" t="s">
        <v>176</v>
      </c>
      <c r="BP93" s="296" t="s">
        <v>177</v>
      </c>
      <c r="BQ93" s="296" t="s">
        <v>178</v>
      </c>
      <c r="BR93" s="296" t="s">
        <v>179</v>
      </c>
      <c r="BS93" s="296" t="s">
        <v>180</v>
      </c>
      <c r="BT93" s="296"/>
      <c r="BW93" s="294" t="s">
        <v>187</v>
      </c>
      <c r="BX93" s="295"/>
      <c r="BY93" s="296" t="s">
        <v>175</v>
      </c>
      <c r="BZ93" s="296" t="s">
        <v>176</v>
      </c>
      <c r="CA93" s="296" t="s">
        <v>177</v>
      </c>
      <c r="CB93" s="296" t="s">
        <v>178</v>
      </c>
      <c r="CC93" s="296" t="s">
        <v>179</v>
      </c>
      <c r="CD93" s="296" t="s">
        <v>180</v>
      </c>
      <c r="CE93" s="296"/>
      <c r="CH93" s="294" t="s">
        <v>187</v>
      </c>
      <c r="CI93" s="295"/>
      <c r="CJ93" s="296" t="s">
        <v>175</v>
      </c>
      <c r="CK93" s="296" t="s">
        <v>176</v>
      </c>
      <c r="CL93" s="296" t="s">
        <v>177</v>
      </c>
      <c r="CM93" s="296" t="s">
        <v>178</v>
      </c>
      <c r="CN93" s="296" t="s">
        <v>179</v>
      </c>
      <c r="CO93" s="296" t="s">
        <v>180</v>
      </c>
      <c r="CP93" s="296"/>
      <c r="CS93" s="294" t="s">
        <v>187</v>
      </c>
      <c r="CT93" s="295"/>
      <c r="CU93" s="296" t="s">
        <v>175</v>
      </c>
      <c r="CV93" s="296" t="s">
        <v>176</v>
      </c>
      <c r="CW93" s="296" t="s">
        <v>177</v>
      </c>
      <c r="CX93" s="296" t="s">
        <v>178</v>
      </c>
      <c r="CY93" s="296" t="s">
        <v>179</v>
      </c>
      <c r="CZ93" s="296" t="s">
        <v>180</v>
      </c>
      <c r="DA93" s="296"/>
      <c r="DD93" s="294" t="s">
        <v>187</v>
      </c>
      <c r="DE93" s="295"/>
      <c r="DF93" s="296" t="s">
        <v>175</v>
      </c>
      <c r="DG93" s="296" t="s">
        <v>176</v>
      </c>
      <c r="DH93" s="296" t="s">
        <v>177</v>
      </c>
      <c r="DI93" s="296" t="s">
        <v>178</v>
      </c>
      <c r="DJ93" s="296" t="s">
        <v>179</v>
      </c>
      <c r="DK93" s="296" t="s">
        <v>180</v>
      </c>
      <c r="DL93" s="296"/>
      <c r="DO93" s="294" t="s">
        <v>187</v>
      </c>
      <c r="DP93" s="295"/>
      <c r="DQ93" s="296" t="s">
        <v>175</v>
      </c>
      <c r="DR93" s="296" t="s">
        <v>176</v>
      </c>
      <c r="DS93" s="296" t="s">
        <v>177</v>
      </c>
      <c r="DT93" s="296" t="s">
        <v>178</v>
      </c>
      <c r="DU93" s="296" t="s">
        <v>179</v>
      </c>
      <c r="DV93" s="296" t="s">
        <v>180</v>
      </c>
      <c r="DW93" s="296"/>
    </row>
    <row r="94" spans="2:127">
      <c r="B94" s="294">
        <f>SUM(F95:F99)</f>
        <v>0</v>
      </c>
      <c r="C94" s="295" t="s">
        <v>181</v>
      </c>
      <c r="D94" s="296"/>
      <c r="E94" s="296"/>
      <c r="F94" s="296" t="s">
        <v>181</v>
      </c>
      <c r="G94" s="296" t="s">
        <v>119</v>
      </c>
      <c r="H94" s="296" t="s">
        <v>86</v>
      </c>
      <c r="I94" s="296" t="s">
        <v>119</v>
      </c>
      <c r="J94" s="296"/>
      <c r="L94" s="294">
        <f>SUM(P95:P99)</f>
        <v>0</v>
      </c>
      <c r="M94" s="295" t="s">
        <v>181</v>
      </c>
      <c r="N94" s="296"/>
      <c r="O94" s="296"/>
      <c r="P94" s="296" t="s">
        <v>181</v>
      </c>
      <c r="Q94" s="296" t="s">
        <v>119</v>
      </c>
      <c r="R94" s="296" t="s">
        <v>86</v>
      </c>
      <c r="S94" s="296" t="s">
        <v>119</v>
      </c>
      <c r="T94" s="296"/>
      <c r="V94" s="294">
        <f>SUM(Z95:Z99)</f>
        <v>0</v>
      </c>
      <c r="W94" s="295" t="s">
        <v>181</v>
      </c>
      <c r="X94" s="296"/>
      <c r="Y94" s="296"/>
      <c r="Z94" s="296" t="s">
        <v>181</v>
      </c>
      <c r="AA94" s="296" t="s">
        <v>119</v>
      </c>
      <c r="AB94" s="296" t="s">
        <v>86</v>
      </c>
      <c r="AC94" s="296" t="s">
        <v>119</v>
      </c>
      <c r="AD94" s="296"/>
      <c r="AF94" s="294">
        <f>SUM(AJ95:AJ99)</f>
        <v>0</v>
      </c>
      <c r="AG94" s="295" t="s">
        <v>181</v>
      </c>
      <c r="AH94" s="296"/>
      <c r="AI94" s="296"/>
      <c r="AJ94" s="296" t="s">
        <v>181</v>
      </c>
      <c r="AK94" s="296" t="s">
        <v>119</v>
      </c>
      <c r="AL94" s="296" t="s">
        <v>86</v>
      </c>
      <c r="AM94" s="296" t="s">
        <v>119</v>
      </c>
      <c r="AN94" s="296"/>
      <c r="AP94" s="294">
        <f>SUM(AT95:AT99)</f>
        <v>0</v>
      </c>
      <c r="AQ94" s="295" t="s">
        <v>181</v>
      </c>
      <c r="AR94" s="296"/>
      <c r="AS94" s="296"/>
      <c r="AT94" s="296" t="s">
        <v>181</v>
      </c>
      <c r="AU94" s="296" t="s">
        <v>119</v>
      </c>
      <c r="AV94" s="296" t="s">
        <v>86</v>
      </c>
      <c r="AW94" s="296" t="s">
        <v>119</v>
      </c>
      <c r="AX94" s="296"/>
      <c r="BA94" s="294">
        <f>SUM(BE95:BE99)</f>
        <v>0</v>
      </c>
      <c r="BB94" s="295" t="s">
        <v>181</v>
      </c>
      <c r="BC94" s="296"/>
      <c r="BD94" s="296"/>
      <c r="BE94" s="296" t="s">
        <v>181</v>
      </c>
      <c r="BF94" s="296" t="s">
        <v>119</v>
      </c>
      <c r="BG94" s="296" t="s">
        <v>86</v>
      </c>
      <c r="BH94" s="296" t="s">
        <v>119</v>
      </c>
      <c r="BI94" s="296"/>
      <c r="BL94" s="294">
        <f>SUM(BP95:BP99)</f>
        <v>0</v>
      </c>
      <c r="BM94" s="295" t="s">
        <v>181</v>
      </c>
      <c r="BN94" s="296"/>
      <c r="BO94" s="296"/>
      <c r="BP94" s="296" t="s">
        <v>181</v>
      </c>
      <c r="BQ94" s="296" t="s">
        <v>119</v>
      </c>
      <c r="BR94" s="296" t="s">
        <v>86</v>
      </c>
      <c r="BS94" s="296" t="s">
        <v>119</v>
      </c>
      <c r="BT94" s="296"/>
      <c r="BW94" s="294">
        <f>SUM(CA95:CA99)</f>
        <v>0</v>
      </c>
      <c r="BX94" s="295" t="s">
        <v>181</v>
      </c>
      <c r="BY94" s="296"/>
      <c r="BZ94" s="296"/>
      <c r="CA94" s="296" t="s">
        <v>181</v>
      </c>
      <c r="CB94" s="296" t="s">
        <v>119</v>
      </c>
      <c r="CC94" s="296" t="s">
        <v>86</v>
      </c>
      <c r="CD94" s="296" t="s">
        <v>119</v>
      </c>
      <c r="CE94" s="296"/>
      <c r="CH94" s="294">
        <f>SUM(CL95:CL99)</f>
        <v>0</v>
      </c>
      <c r="CI94" s="295" t="s">
        <v>181</v>
      </c>
      <c r="CJ94" s="296"/>
      <c r="CK94" s="296"/>
      <c r="CL94" s="296" t="s">
        <v>181</v>
      </c>
      <c r="CM94" s="296" t="s">
        <v>119</v>
      </c>
      <c r="CN94" s="296" t="s">
        <v>86</v>
      </c>
      <c r="CO94" s="296" t="s">
        <v>119</v>
      </c>
      <c r="CP94" s="296"/>
      <c r="CS94" s="294">
        <f>SUM(CW95:CW99)</f>
        <v>0</v>
      </c>
      <c r="CT94" s="295" t="s">
        <v>181</v>
      </c>
      <c r="CU94" s="296"/>
      <c r="CV94" s="296"/>
      <c r="CW94" s="296" t="s">
        <v>181</v>
      </c>
      <c r="CX94" s="296" t="s">
        <v>119</v>
      </c>
      <c r="CY94" s="296" t="s">
        <v>86</v>
      </c>
      <c r="CZ94" s="296" t="s">
        <v>119</v>
      </c>
      <c r="DA94" s="296"/>
      <c r="DD94" s="294">
        <f>SUM(DH95:DH99)</f>
        <v>0</v>
      </c>
      <c r="DE94" s="295" t="s">
        <v>181</v>
      </c>
      <c r="DF94" s="296"/>
      <c r="DG94" s="296"/>
      <c r="DH94" s="296" t="s">
        <v>181</v>
      </c>
      <c r="DI94" s="296" t="s">
        <v>119</v>
      </c>
      <c r="DJ94" s="296" t="s">
        <v>86</v>
      </c>
      <c r="DK94" s="296" t="s">
        <v>119</v>
      </c>
      <c r="DL94" s="296"/>
      <c r="DO94" s="294">
        <f>SUM(DS95:DS99)</f>
        <v>0</v>
      </c>
      <c r="DP94" s="295" t="s">
        <v>181</v>
      </c>
      <c r="DQ94" s="296"/>
      <c r="DR94" s="296"/>
      <c r="DS94" s="296" t="s">
        <v>181</v>
      </c>
      <c r="DT94" s="296" t="s">
        <v>119</v>
      </c>
      <c r="DU94" s="296" t="s">
        <v>86</v>
      </c>
      <c r="DV94" s="296" t="s">
        <v>119</v>
      </c>
      <c r="DW94" s="296"/>
    </row>
    <row r="95" spans="2:127">
      <c r="B95" s="294"/>
      <c r="C95" s="295"/>
      <c r="D95" s="296"/>
      <c r="E95" s="296"/>
      <c r="F95" s="297"/>
      <c r="G95" s="297"/>
      <c r="H95" s="296"/>
      <c r="I95" s="296"/>
      <c r="J95" s="296"/>
      <c r="L95" s="294"/>
      <c r="M95" s="295"/>
      <c r="N95" s="296"/>
      <c r="O95" s="296"/>
      <c r="P95" s="297"/>
      <c r="Q95" s="297"/>
      <c r="R95" s="296"/>
      <c r="S95" s="296"/>
      <c r="T95" s="296"/>
      <c r="V95" s="294"/>
      <c r="W95" s="295"/>
      <c r="X95" s="296"/>
      <c r="Y95" s="296"/>
      <c r="Z95" s="297"/>
      <c r="AA95" s="297"/>
      <c r="AB95" s="296"/>
      <c r="AC95" s="296"/>
      <c r="AD95" s="296"/>
      <c r="AF95" s="294"/>
      <c r="AG95" s="295"/>
      <c r="AH95" s="296"/>
      <c r="AI95" s="296"/>
      <c r="AJ95" s="297"/>
      <c r="AK95" s="297"/>
      <c r="AL95" s="296"/>
      <c r="AM95" s="296"/>
      <c r="AN95" s="296"/>
      <c r="AP95" s="294"/>
      <c r="AQ95" s="295"/>
      <c r="AR95" s="296"/>
      <c r="AS95" s="296"/>
      <c r="AT95" s="297"/>
      <c r="AU95" s="297"/>
      <c r="AV95" s="296"/>
      <c r="AW95" s="296"/>
      <c r="AX95" s="296"/>
      <c r="BA95" s="294"/>
      <c r="BB95" s="295"/>
      <c r="BC95" s="296"/>
      <c r="BD95" s="296"/>
      <c r="BE95" s="297"/>
      <c r="BF95" s="297"/>
      <c r="BG95" s="296"/>
      <c r="BH95" s="296"/>
      <c r="BI95" s="296"/>
      <c r="BL95" s="294"/>
      <c r="BM95" s="295"/>
      <c r="BN95" s="296"/>
      <c r="BO95" s="296"/>
      <c r="BP95" s="297"/>
      <c r="BQ95" s="297"/>
      <c r="BR95" s="296"/>
      <c r="BS95" s="296"/>
      <c r="BT95" s="296"/>
      <c r="BW95" s="294"/>
      <c r="BX95" s="295"/>
      <c r="BY95" s="296"/>
      <c r="BZ95" s="296"/>
      <c r="CA95" s="297"/>
      <c r="CB95" s="297"/>
      <c r="CC95" s="296"/>
      <c r="CD95" s="296"/>
      <c r="CE95" s="296"/>
      <c r="CH95" s="294"/>
      <c r="CI95" s="295"/>
      <c r="CJ95" s="296"/>
      <c r="CK95" s="296"/>
      <c r="CL95" s="297"/>
      <c r="CM95" s="297"/>
      <c r="CN95" s="296"/>
      <c r="CO95" s="296"/>
      <c r="CP95" s="296"/>
      <c r="CS95" s="294"/>
      <c r="CT95" s="295"/>
      <c r="CU95" s="296"/>
      <c r="CV95" s="296"/>
      <c r="CW95" s="297"/>
      <c r="CX95" s="297"/>
      <c r="CY95" s="296"/>
      <c r="CZ95" s="296"/>
      <c r="DA95" s="296"/>
      <c r="DD95" s="294"/>
      <c r="DE95" s="295"/>
      <c r="DF95" s="296"/>
      <c r="DG95" s="296"/>
      <c r="DH95" s="297"/>
      <c r="DI95" s="297"/>
      <c r="DJ95" s="296"/>
      <c r="DK95" s="296"/>
      <c r="DL95" s="296"/>
      <c r="DO95" s="294"/>
      <c r="DP95" s="295"/>
      <c r="DQ95" s="296"/>
      <c r="DR95" s="296"/>
      <c r="DS95" s="297"/>
      <c r="DT95" s="297"/>
      <c r="DU95" s="296"/>
      <c r="DV95" s="296"/>
      <c r="DW95" s="296"/>
    </row>
    <row r="96" spans="2:127">
      <c r="B96" s="294"/>
      <c r="C96" s="295"/>
      <c r="D96" s="296"/>
      <c r="E96" s="296"/>
      <c r="F96" s="296"/>
      <c r="G96" s="296"/>
      <c r="H96" s="296"/>
      <c r="I96" s="296"/>
      <c r="J96" s="296"/>
      <c r="L96" s="294"/>
      <c r="M96" s="295"/>
      <c r="N96" s="296"/>
      <c r="O96" s="296"/>
      <c r="P96" s="296"/>
      <c r="Q96" s="296"/>
      <c r="R96" s="296"/>
      <c r="S96" s="296"/>
      <c r="T96" s="296"/>
      <c r="V96" s="294"/>
      <c r="W96" s="295"/>
      <c r="X96" s="296"/>
      <c r="Y96" s="296"/>
      <c r="Z96" s="296"/>
      <c r="AA96" s="296"/>
      <c r="AB96" s="296"/>
      <c r="AC96" s="296"/>
      <c r="AD96" s="296"/>
      <c r="AF96" s="294"/>
      <c r="AG96" s="295"/>
      <c r="AH96" s="296"/>
      <c r="AI96" s="296"/>
      <c r="AJ96" s="296"/>
      <c r="AK96" s="296"/>
      <c r="AL96" s="296"/>
      <c r="AM96" s="296"/>
      <c r="AN96" s="296"/>
      <c r="AP96" s="294"/>
      <c r="AQ96" s="295"/>
      <c r="AR96" s="296"/>
      <c r="AS96" s="296"/>
      <c r="AT96" s="296"/>
      <c r="AU96" s="296"/>
      <c r="AV96" s="296"/>
      <c r="AW96" s="296"/>
      <c r="AX96" s="296"/>
      <c r="BA96" s="294"/>
      <c r="BB96" s="295"/>
      <c r="BC96" s="296"/>
      <c r="BD96" s="296"/>
      <c r="BE96" s="296"/>
      <c r="BF96" s="296"/>
      <c r="BG96" s="296"/>
      <c r="BH96" s="296"/>
      <c r="BI96" s="296"/>
      <c r="BL96" s="294"/>
      <c r="BM96" s="295"/>
      <c r="BN96" s="296"/>
      <c r="BO96" s="296"/>
      <c r="BP96" s="296"/>
      <c r="BQ96" s="296"/>
      <c r="BR96" s="296"/>
      <c r="BS96" s="296"/>
      <c r="BT96" s="296"/>
      <c r="BW96" s="294"/>
      <c r="BX96" s="295"/>
      <c r="BY96" s="296"/>
      <c r="BZ96" s="296"/>
      <c r="CA96" s="296"/>
      <c r="CB96" s="296"/>
      <c r="CC96" s="296"/>
      <c r="CD96" s="296"/>
      <c r="CE96" s="296"/>
      <c r="CH96" s="294"/>
      <c r="CI96" s="295"/>
      <c r="CJ96" s="296"/>
      <c r="CK96" s="296"/>
      <c r="CL96" s="296"/>
      <c r="CM96" s="296"/>
      <c r="CN96" s="296"/>
      <c r="CO96" s="296"/>
      <c r="CP96" s="296"/>
      <c r="CS96" s="294"/>
      <c r="CT96" s="295"/>
      <c r="CU96" s="296"/>
      <c r="CV96" s="296"/>
      <c r="CW96" s="296"/>
      <c r="CX96" s="296"/>
      <c r="CY96" s="296"/>
      <c r="CZ96" s="296"/>
      <c r="DA96" s="296"/>
      <c r="DD96" s="294"/>
      <c r="DE96" s="295"/>
      <c r="DF96" s="296"/>
      <c r="DG96" s="296"/>
      <c r="DH96" s="296"/>
      <c r="DI96" s="296"/>
      <c r="DJ96" s="296"/>
      <c r="DK96" s="296"/>
      <c r="DL96" s="296"/>
      <c r="DO96" s="294"/>
      <c r="DP96" s="295"/>
      <c r="DQ96" s="296"/>
      <c r="DR96" s="296"/>
      <c r="DS96" s="296"/>
      <c r="DT96" s="296"/>
      <c r="DU96" s="296"/>
      <c r="DV96" s="296"/>
      <c r="DW96" s="296"/>
    </row>
    <row r="97" spans="2:127">
      <c r="B97" s="294"/>
      <c r="C97" s="295"/>
      <c r="D97" s="296"/>
      <c r="E97" s="296"/>
      <c r="F97" s="296"/>
      <c r="G97" s="296"/>
      <c r="H97" s="296"/>
      <c r="I97" s="296"/>
      <c r="J97" s="296"/>
      <c r="L97" s="294"/>
      <c r="M97" s="295"/>
      <c r="N97" s="296"/>
      <c r="O97" s="296"/>
      <c r="P97" s="296"/>
      <c r="Q97" s="296"/>
      <c r="R97" s="296"/>
      <c r="S97" s="296"/>
      <c r="T97" s="296"/>
      <c r="V97" s="294"/>
      <c r="W97" s="295"/>
      <c r="X97" s="296"/>
      <c r="Y97" s="296"/>
      <c r="Z97" s="296"/>
      <c r="AA97" s="296"/>
      <c r="AB97" s="296"/>
      <c r="AC97" s="296"/>
      <c r="AD97" s="296"/>
      <c r="AF97" s="294"/>
      <c r="AG97" s="295"/>
      <c r="AH97" s="296"/>
      <c r="AI97" s="296"/>
      <c r="AJ97" s="296"/>
      <c r="AK97" s="296"/>
      <c r="AL97" s="296"/>
      <c r="AM97" s="296"/>
      <c r="AN97" s="296"/>
      <c r="AP97" s="294"/>
      <c r="AQ97" s="295"/>
      <c r="AR97" s="296"/>
      <c r="AS97" s="296"/>
      <c r="AT97" s="296"/>
      <c r="AU97" s="296"/>
      <c r="AV97" s="296"/>
      <c r="AW97" s="296"/>
      <c r="AX97" s="296"/>
      <c r="BA97" s="294"/>
      <c r="BB97" s="295"/>
      <c r="BC97" s="296"/>
      <c r="BD97" s="296"/>
      <c r="BE97" s="296"/>
      <c r="BF97" s="296"/>
      <c r="BG97" s="296"/>
      <c r="BH97" s="296"/>
      <c r="BI97" s="296"/>
      <c r="BL97" s="294"/>
      <c r="BM97" s="295"/>
      <c r="BN97" s="296"/>
      <c r="BO97" s="296"/>
      <c r="BP97" s="296"/>
      <c r="BQ97" s="296"/>
      <c r="BR97" s="296"/>
      <c r="BS97" s="296"/>
      <c r="BT97" s="296"/>
      <c r="BW97" s="294"/>
      <c r="BX97" s="295"/>
      <c r="BY97" s="296"/>
      <c r="BZ97" s="296"/>
      <c r="CA97" s="296"/>
      <c r="CB97" s="296"/>
      <c r="CC97" s="296"/>
      <c r="CD97" s="296"/>
      <c r="CE97" s="296"/>
      <c r="CH97" s="294"/>
      <c r="CI97" s="295"/>
      <c r="CJ97" s="296"/>
      <c r="CK97" s="296"/>
      <c r="CL97" s="296"/>
      <c r="CM97" s="296"/>
      <c r="CN97" s="296"/>
      <c r="CO97" s="296"/>
      <c r="CP97" s="296"/>
      <c r="CS97" s="294"/>
      <c r="CT97" s="295"/>
      <c r="CU97" s="296"/>
      <c r="CV97" s="296"/>
      <c r="CW97" s="296"/>
      <c r="CX97" s="296"/>
      <c r="CY97" s="296"/>
      <c r="CZ97" s="296"/>
      <c r="DA97" s="296"/>
      <c r="DD97" s="294"/>
      <c r="DE97" s="295"/>
      <c r="DF97" s="296"/>
      <c r="DG97" s="296"/>
      <c r="DH97" s="296"/>
      <c r="DI97" s="296"/>
      <c r="DJ97" s="296"/>
      <c r="DK97" s="296"/>
      <c r="DL97" s="296"/>
      <c r="DO97" s="294"/>
      <c r="DP97" s="295"/>
      <c r="DQ97" s="296"/>
      <c r="DR97" s="296"/>
      <c r="DS97" s="296"/>
      <c r="DT97" s="296"/>
      <c r="DU97" s="296"/>
      <c r="DV97" s="296"/>
      <c r="DW97" s="296"/>
    </row>
    <row r="98" spans="2:127">
      <c r="B98" s="294"/>
      <c r="C98" s="295"/>
      <c r="D98" s="296"/>
      <c r="E98" s="296"/>
      <c r="F98" s="296"/>
      <c r="G98" s="296"/>
      <c r="H98" s="296"/>
      <c r="I98" s="296"/>
      <c r="J98" s="296"/>
      <c r="L98" s="294"/>
      <c r="M98" s="295"/>
      <c r="N98" s="296"/>
      <c r="O98" s="296"/>
      <c r="P98" s="296"/>
      <c r="Q98" s="296"/>
      <c r="R98" s="296"/>
      <c r="S98" s="296"/>
      <c r="T98" s="296"/>
      <c r="V98" s="294"/>
      <c r="W98" s="295"/>
      <c r="X98" s="296"/>
      <c r="Y98" s="296"/>
      <c r="Z98" s="296"/>
      <c r="AA98" s="296"/>
      <c r="AB98" s="296"/>
      <c r="AC98" s="296"/>
      <c r="AD98" s="296"/>
      <c r="AF98" s="294"/>
      <c r="AG98" s="295"/>
      <c r="AH98" s="296"/>
      <c r="AI98" s="296"/>
      <c r="AJ98" s="296"/>
      <c r="AK98" s="296"/>
      <c r="AL98" s="296"/>
      <c r="AM98" s="296"/>
      <c r="AN98" s="296"/>
      <c r="AP98" s="294"/>
      <c r="AQ98" s="295"/>
      <c r="AR98" s="296"/>
      <c r="AS98" s="296"/>
      <c r="AT98" s="296"/>
      <c r="AU98" s="296"/>
      <c r="AV98" s="296"/>
      <c r="AW98" s="296"/>
      <c r="AX98" s="296"/>
      <c r="BA98" s="294"/>
      <c r="BB98" s="295"/>
      <c r="BC98" s="296"/>
      <c r="BD98" s="296"/>
      <c r="BE98" s="296"/>
      <c r="BF98" s="296"/>
      <c r="BG98" s="296"/>
      <c r="BH98" s="296"/>
      <c r="BI98" s="296"/>
      <c r="BL98" s="294"/>
      <c r="BM98" s="295"/>
      <c r="BN98" s="296"/>
      <c r="BO98" s="296"/>
      <c r="BP98" s="296"/>
      <c r="BQ98" s="296"/>
      <c r="BR98" s="296"/>
      <c r="BS98" s="296"/>
      <c r="BT98" s="296"/>
      <c r="BW98" s="294"/>
      <c r="BX98" s="295"/>
      <c r="BY98" s="296"/>
      <c r="BZ98" s="296"/>
      <c r="CA98" s="296"/>
      <c r="CB98" s="296"/>
      <c r="CC98" s="296"/>
      <c r="CD98" s="296"/>
      <c r="CE98" s="296"/>
      <c r="CH98" s="294"/>
      <c r="CI98" s="295"/>
      <c r="CJ98" s="296"/>
      <c r="CK98" s="296"/>
      <c r="CL98" s="296"/>
      <c r="CM98" s="296"/>
      <c r="CN98" s="296"/>
      <c r="CO98" s="296"/>
      <c r="CP98" s="296"/>
      <c r="CS98" s="294"/>
      <c r="CT98" s="295"/>
      <c r="CU98" s="296"/>
      <c r="CV98" s="296"/>
      <c r="CW98" s="296"/>
      <c r="CX98" s="296"/>
      <c r="CY98" s="296"/>
      <c r="CZ98" s="296"/>
      <c r="DA98" s="296"/>
      <c r="DD98" s="294"/>
      <c r="DE98" s="295"/>
      <c r="DF98" s="296"/>
      <c r="DG98" s="296"/>
      <c r="DH98" s="296"/>
      <c r="DI98" s="296"/>
      <c r="DJ98" s="296"/>
      <c r="DK98" s="296"/>
      <c r="DL98" s="296"/>
      <c r="DO98" s="294"/>
      <c r="DP98" s="295"/>
      <c r="DQ98" s="296"/>
      <c r="DR98" s="296"/>
      <c r="DS98" s="296"/>
      <c r="DT98" s="296"/>
      <c r="DU98" s="296"/>
      <c r="DV98" s="296"/>
      <c r="DW98" s="296"/>
    </row>
    <row r="99" spans="2:127">
      <c r="B99" s="294"/>
      <c r="C99" s="295"/>
      <c r="D99" s="296"/>
      <c r="E99" s="296"/>
      <c r="F99" s="296"/>
      <c r="G99" s="296"/>
      <c r="H99" s="296"/>
      <c r="I99" s="296"/>
      <c r="J99" s="296"/>
      <c r="L99" s="294"/>
      <c r="M99" s="295"/>
      <c r="N99" s="296"/>
      <c r="O99" s="296"/>
      <c r="P99" s="296"/>
      <c r="Q99" s="296"/>
      <c r="R99" s="296"/>
      <c r="S99" s="296"/>
      <c r="T99" s="296"/>
      <c r="V99" s="294"/>
      <c r="W99" s="295"/>
      <c r="X99" s="296"/>
      <c r="Y99" s="296"/>
      <c r="Z99" s="296"/>
      <c r="AA99" s="296"/>
      <c r="AB99" s="296"/>
      <c r="AC99" s="296"/>
      <c r="AD99" s="296"/>
      <c r="AF99" s="294"/>
      <c r="AG99" s="295"/>
      <c r="AH99" s="296"/>
      <c r="AI99" s="296"/>
      <c r="AJ99" s="296"/>
      <c r="AK99" s="296"/>
      <c r="AL99" s="296"/>
      <c r="AM99" s="296"/>
      <c r="AN99" s="296"/>
      <c r="AP99" s="294"/>
      <c r="AQ99" s="295"/>
      <c r="AR99" s="296"/>
      <c r="AS99" s="296"/>
      <c r="AT99" s="296"/>
      <c r="AU99" s="296"/>
      <c r="AV99" s="296"/>
      <c r="AW99" s="296"/>
      <c r="AX99" s="296"/>
      <c r="BA99" s="294"/>
      <c r="BB99" s="295"/>
      <c r="BC99" s="296"/>
      <c r="BD99" s="296"/>
      <c r="BE99" s="296"/>
      <c r="BF99" s="296"/>
      <c r="BG99" s="296"/>
      <c r="BH99" s="296"/>
      <c r="BI99" s="296"/>
      <c r="BL99" s="294"/>
      <c r="BM99" s="295"/>
      <c r="BN99" s="296"/>
      <c r="BO99" s="296"/>
      <c r="BP99" s="296"/>
      <c r="BQ99" s="296"/>
      <c r="BR99" s="296"/>
      <c r="BS99" s="296"/>
      <c r="BT99" s="296"/>
      <c r="BW99" s="294"/>
      <c r="BX99" s="295"/>
      <c r="BY99" s="296"/>
      <c r="BZ99" s="296"/>
      <c r="CA99" s="296"/>
      <c r="CB99" s="296"/>
      <c r="CC99" s="296"/>
      <c r="CD99" s="296"/>
      <c r="CE99" s="296"/>
      <c r="CH99" s="294"/>
      <c r="CI99" s="295"/>
      <c r="CJ99" s="296"/>
      <c r="CK99" s="296"/>
      <c r="CL99" s="296"/>
      <c r="CM99" s="296"/>
      <c r="CN99" s="296"/>
      <c r="CO99" s="296"/>
      <c r="CP99" s="296"/>
      <c r="CS99" s="294"/>
      <c r="CT99" s="295"/>
      <c r="CU99" s="296"/>
      <c r="CV99" s="296"/>
      <c r="CW99" s="296"/>
      <c r="CX99" s="296"/>
      <c r="CY99" s="296"/>
      <c r="CZ99" s="296"/>
      <c r="DA99" s="296"/>
      <c r="DD99" s="294"/>
      <c r="DE99" s="295"/>
      <c r="DF99" s="296"/>
      <c r="DG99" s="296"/>
      <c r="DH99" s="296"/>
      <c r="DI99" s="296"/>
      <c r="DJ99" s="296"/>
      <c r="DK99" s="296"/>
      <c r="DL99" s="296"/>
      <c r="DO99" s="294"/>
      <c r="DP99" s="295"/>
      <c r="DQ99" s="296"/>
      <c r="DR99" s="296"/>
      <c r="DS99" s="296"/>
      <c r="DT99" s="296"/>
      <c r="DU99" s="296"/>
      <c r="DV99" s="296"/>
      <c r="DW99" s="296"/>
    </row>
    <row r="100" spans="2:127">
      <c r="B100" s="298" t="s">
        <v>791</v>
      </c>
      <c r="C100" s="299"/>
      <c r="D100" s="300" t="s">
        <v>175</v>
      </c>
      <c r="E100" s="300" t="s">
        <v>176</v>
      </c>
      <c r="F100" s="300" t="s">
        <v>177</v>
      </c>
      <c r="G100" s="300" t="s">
        <v>178</v>
      </c>
      <c r="H100" s="300" t="s">
        <v>179</v>
      </c>
      <c r="I100" s="300" t="s">
        <v>180</v>
      </c>
      <c r="J100" s="300"/>
      <c r="L100" s="298" t="s">
        <v>791</v>
      </c>
      <c r="M100" s="299"/>
      <c r="N100" s="300" t="s">
        <v>175</v>
      </c>
      <c r="O100" s="300" t="s">
        <v>176</v>
      </c>
      <c r="P100" s="300" t="s">
        <v>177</v>
      </c>
      <c r="Q100" s="300" t="s">
        <v>178</v>
      </c>
      <c r="R100" s="300" t="s">
        <v>179</v>
      </c>
      <c r="S100" s="300" t="s">
        <v>180</v>
      </c>
      <c r="T100" s="300"/>
      <c r="V100" s="298" t="s">
        <v>791</v>
      </c>
      <c r="W100" s="299"/>
      <c r="X100" s="300" t="s">
        <v>175</v>
      </c>
      <c r="Y100" s="300" t="s">
        <v>176</v>
      </c>
      <c r="Z100" s="300" t="s">
        <v>177</v>
      </c>
      <c r="AA100" s="300" t="s">
        <v>178</v>
      </c>
      <c r="AB100" s="300" t="s">
        <v>179</v>
      </c>
      <c r="AC100" s="300" t="s">
        <v>180</v>
      </c>
      <c r="AD100" s="300"/>
      <c r="AF100" s="298" t="s">
        <v>791</v>
      </c>
      <c r="AG100" s="299"/>
      <c r="AH100" s="300" t="s">
        <v>175</v>
      </c>
      <c r="AI100" s="300" t="s">
        <v>176</v>
      </c>
      <c r="AJ100" s="300" t="s">
        <v>177</v>
      </c>
      <c r="AK100" s="300" t="s">
        <v>178</v>
      </c>
      <c r="AL100" s="300" t="s">
        <v>179</v>
      </c>
      <c r="AM100" s="300" t="s">
        <v>180</v>
      </c>
      <c r="AN100" s="300"/>
      <c r="AP100" s="298" t="s">
        <v>791</v>
      </c>
      <c r="AQ100" s="299"/>
      <c r="AR100" s="300" t="s">
        <v>175</v>
      </c>
      <c r="AS100" s="300" t="s">
        <v>176</v>
      </c>
      <c r="AT100" s="300" t="s">
        <v>177</v>
      </c>
      <c r="AU100" s="300" t="s">
        <v>178</v>
      </c>
      <c r="AV100" s="300" t="s">
        <v>179</v>
      </c>
      <c r="AW100" s="300" t="s">
        <v>180</v>
      </c>
      <c r="AX100" s="300"/>
      <c r="BA100" s="298" t="s">
        <v>791</v>
      </c>
      <c r="BB100" s="299"/>
      <c r="BC100" s="300" t="s">
        <v>175</v>
      </c>
      <c r="BD100" s="300" t="s">
        <v>176</v>
      </c>
      <c r="BE100" s="300" t="s">
        <v>177</v>
      </c>
      <c r="BF100" s="300" t="s">
        <v>178</v>
      </c>
      <c r="BG100" s="300" t="s">
        <v>179</v>
      </c>
      <c r="BH100" s="300" t="s">
        <v>180</v>
      </c>
      <c r="BI100" s="300"/>
      <c r="BL100" s="298" t="s">
        <v>791</v>
      </c>
      <c r="BM100" s="299"/>
      <c r="BN100" s="300" t="s">
        <v>175</v>
      </c>
      <c r="BO100" s="300" t="s">
        <v>176</v>
      </c>
      <c r="BP100" s="300" t="s">
        <v>177</v>
      </c>
      <c r="BQ100" s="300" t="s">
        <v>178</v>
      </c>
      <c r="BR100" s="300" t="s">
        <v>179</v>
      </c>
      <c r="BS100" s="300" t="s">
        <v>180</v>
      </c>
      <c r="BT100" s="300"/>
      <c r="BW100" s="298" t="s">
        <v>791</v>
      </c>
      <c r="BX100" s="299"/>
      <c r="BY100" s="300" t="s">
        <v>175</v>
      </c>
      <c r="BZ100" s="300" t="s">
        <v>176</v>
      </c>
      <c r="CA100" s="300" t="s">
        <v>177</v>
      </c>
      <c r="CB100" s="300" t="s">
        <v>178</v>
      </c>
      <c r="CC100" s="300" t="s">
        <v>179</v>
      </c>
      <c r="CD100" s="300" t="s">
        <v>180</v>
      </c>
      <c r="CE100" s="300"/>
      <c r="CH100" s="298" t="s">
        <v>791</v>
      </c>
      <c r="CI100" s="299"/>
      <c r="CJ100" s="300" t="s">
        <v>175</v>
      </c>
      <c r="CK100" s="300" t="s">
        <v>176</v>
      </c>
      <c r="CL100" s="300" t="s">
        <v>177</v>
      </c>
      <c r="CM100" s="300" t="s">
        <v>178</v>
      </c>
      <c r="CN100" s="300" t="s">
        <v>179</v>
      </c>
      <c r="CO100" s="300" t="s">
        <v>180</v>
      </c>
      <c r="CP100" s="300"/>
      <c r="CS100" s="298" t="s">
        <v>791</v>
      </c>
      <c r="CT100" s="299"/>
      <c r="CU100" s="300" t="s">
        <v>175</v>
      </c>
      <c r="CV100" s="300" t="s">
        <v>176</v>
      </c>
      <c r="CW100" s="300" t="s">
        <v>177</v>
      </c>
      <c r="CX100" s="300" t="s">
        <v>178</v>
      </c>
      <c r="CY100" s="300" t="s">
        <v>179</v>
      </c>
      <c r="CZ100" s="300" t="s">
        <v>180</v>
      </c>
      <c r="DA100" s="300"/>
      <c r="DD100" s="298" t="s">
        <v>791</v>
      </c>
      <c r="DE100" s="299"/>
      <c r="DF100" s="300" t="s">
        <v>175</v>
      </c>
      <c r="DG100" s="300" t="s">
        <v>176</v>
      </c>
      <c r="DH100" s="300" t="s">
        <v>177</v>
      </c>
      <c r="DI100" s="300" t="s">
        <v>178</v>
      </c>
      <c r="DJ100" s="300" t="s">
        <v>179</v>
      </c>
      <c r="DK100" s="300" t="s">
        <v>180</v>
      </c>
      <c r="DL100" s="300"/>
      <c r="DO100" s="298" t="s">
        <v>791</v>
      </c>
      <c r="DP100" s="299"/>
      <c r="DQ100" s="300" t="s">
        <v>175</v>
      </c>
      <c r="DR100" s="300" t="s">
        <v>176</v>
      </c>
      <c r="DS100" s="300" t="s">
        <v>177</v>
      </c>
      <c r="DT100" s="300" t="s">
        <v>178</v>
      </c>
      <c r="DU100" s="300" t="s">
        <v>179</v>
      </c>
      <c r="DV100" s="300" t="s">
        <v>180</v>
      </c>
      <c r="DW100" s="300"/>
    </row>
    <row r="101" spans="2:127">
      <c r="B101" s="298">
        <f>SUM(G102:G106)</f>
        <v>0</v>
      </c>
      <c r="C101" s="299" t="s">
        <v>783</v>
      </c>
      <c r="D101" s="300"/>
      <c r="E101" s="300"/>
      <c r="F101" s="300" t="s">
        <v>181</v>
      </c>
      <c r="G101" s="300" t="s">
        <v>787</v>
      </c>
      <c r="H101" s="300" t="s">
        <v>86</v>
      </c>
      <c r="I101" s="300" t="s">
        <v>119</v>
      </c>
      <c r="J101" s="300"/>
      <c r="L101" s="298">
        <f>SUM(Q102:Q106)</f>
        <v>0</v>
      </c>
      <c r="M101" s="299" t="s">
        <v>783</v>
      </c>
      <c r="N101" s="300"/>
      <c r="O101" s="300"/>
      <c r="P101" s="300" t="s">
        <v>181</v>
      </c>
      <c r="Q101" s="300" t="s">
        <v>787</v>
      </c>
      <c r="R101" s="300" t="s">
        <v>86</v>
      </c>
      <c r="S101" s="300" t="s">
        <v>119</v>
      </c>
      <c r="T101" s="300"/>
      <c r="V101" s="298">
        <f>SUM(AA102:AA106)</f>
        <v>0</v>
      </c>
      <c r="W101" s="299" t="s">
        <v>783</v>
      </c>
      <c r="X101" s="300"/>
      <c r="Y101" s="300"/>
      <c r="Z101" s="300" t="s">
        <v>181</v>
      </c>
      <c r="AA101" s="300" t="s">
        <v>787</v>
      </c>
      <c r="AB101" s="300" t="s">
        <v>86</v>
      </c>
      <c r="AC101" s="300" t="s">
        <v>119</v>
      </c>
      <c r="AD101" s="300"/>
      <c r="AF101" s="298">
        <f>SUM(AK102:AK106)</f>
        <v>0</v>
      </c>
      <c r="AG101" s="299" t="s">
        <v>783</v>
      </c>
      <c r="AH101" s="300"/>
      <c r="AI101" s="300"/>
      <c r="AJ101" s="300" t="s">
        <v>181</v>
      </c>
      <c r="AK101" s="300" t="s">
        <v>787</v>
      </c>
      <c r="AL101" s="300" t="s">
        <v>86</v>
      </c>
      <c r="AM101" s="300" t="s">
        <v>119</v>
      </c>
      <c r="AN101" s="300"/>
      <c r="AP101" s="298">
        <f>SUM(AU102:AU106)</f>
        <v>0</v>
      </c>
      <c r="AQ101" s="299" t="s">
        <v>783</v>
      </c>
      <c r="AR101" s="300"/>
      <c r="AS101" s="300"/>
      <c r="AT101" s="300" t="s">
        <v>181</v>
      </c>
      <c r="AU101" s="300" t="s">
        <v>787</v>
      </c>
      <c r="AV101" s="300" t="s">
        <v>86</v>
      </c>
      <c r="AW101" s="300" t="s">
        <v>119</v>
      </c>
      <c r="AX101" s="300"/>
      <c r="BA101" s="298">
        <f>SUM(BF102:BF106)</f>
        <v>0</v>
      </c>
      <c r="BB101" s="299" t="s">
        <v>783</v>
      </c>
      <c r="BC101" s="300"/>
      <c r="BD101" s="300"/>
      <c r="BE101" s="300" t="s">
        <v>181</v>
      </c>
      <c r="BF101" s="300" t="s">
        <v>787</v>
      </c>
      <c r="BG101" s="300" t="s">
        <v>86</v>
      </c>
      <c r="BH101" s="300" t="s">
        <v>119</v>
      </c>
      <c r="BI101" s="300"/>
      <c r="BL101" s="298">
        <f>SUM(BQ102:BQ106)</f>
        <v>0</v>
      </c>
      <c r="BM101" s="299" t="s">
        <v>783</v>
      </c>
      <c r="BN101" s="300"/>
      <c r="BO101" s="300"/>
      <c r="BP101" s="300" t="s">
        <v>181</v>
      </c>
      <c r="BQ101" s="300" t="s">
        <v>787</v>
      </c>
      <c r="BR101" s="300" t="s">
        <v>86</v>
      </c>
      <c r="BS101" s="300" t="s">
        <v>119</v>
      </c>
      <c r="BT101" s="300"/>
      <c r="BW101" s="298">
        <f>SUM(CB102:CB106)</f>
        <v>0</v>
      </c>
      <c r="BX101" s="299" t="s">
        <v>783</v>
      </c>
      <c r="BY101" s="300"/>
      <c r="BZ101" s="300"/>
      <c r="CA101" s="300" t="s">
        <v>181</v>
      </c>
      <c r="CB101" s="300" t="s">
        <v>787</v>
      </c>
      <c r="CC101" s="300" t="s">
        <v>86</v>
      </c>
      <c r="CD101" s="300" t="s">
        <v>119</v>
      </c>
      <c r="CE101" s="300"/>
      <c r="CH101" s="298">
        <f>SUM(CM102:CM106)</f>
        <v>0</v>
      </c>
      <c r="CI101" s="299" t="s">
        <v>783</v>
      </c>
      <c r="CJ101" s="300"/>
      <c r="CK101" s="300"/>
      <c r="CL101" s="300" t="s">
        <v>181</v>
      </c>
      <c r="CM101" s="300" t="s">
        <v>787</v>
      </c>
      <c r="CN101" s="300" t="s">
        <v>86</v>
      </c>
      <c r="CO101" s="300" t="s">
        <v>119</v>
      </c>
      <c r="CP101" s="300"/>
      <c r="CS101" s="298">
        <f>SUM(CX102:CX106)</f>
        <v>0</v>
      </c>
      <c r="CT101" s="299" t="s">
        <v>783</v>
      </c>
      <c r="CU101" s="300"/>
      <c r="CV101" s="300"/>
      <c r="CW101" s="300" t="s">
        <v>181</v>
      </c>
      <c r="CX101" s="300" t="s">
        <v>787</v>
      </c>
      <c r="CY101" s="300" t="s">
        <v>86</v>
      </c>
      <c r="CZ101" s="300" t="s">
        <v>119</v>
      </c>
      <c r="DA101" s="300"/>
      <c r="DD101" s="298">
        <f>SUM(DI102:DI106)</f>
        <v>0</v>
      </c>
      <c r="DE101" s="299" t="s">
        <v>783</v>
      </c>
      <c r="DF101" s="300"/>
      <c r="DG101" s="300"/>
      <c r="DH101" s="300" t="s">
        <v>181</v>
      </c>
      <c r="DI101" s="300" t="s">
        <v>787</v>
      </c>
      <c r="DJ101" s="300" t="s">
        <v>86</v>
      </c>
      <c r="DK101" s="300" t="s">
        <v>119</v>
      </c>
      <c r="DL101" s="300"/>
      <c r="DO101" s="298">
        <f>SUM(DT102:DT106)</f>
        <v>0</v>
      </c>
      <c r="DP101" s="299" t="s">
        <v>783</v>
      </c>
      <c r="DQ101" s="300"/>
      <c r="DR101" s="300"/>
      <c r="DS101" s="300" t="s">
        <v>181</v>
      </c>
      <c r="DT101" s="300" t="s">
        <v>787</v>
      </c>
      <c r="DU101" s="300" t="s">
        <v>86</v>
      </c>
      <c r="DV101" s="300" t="s">
        <v>119</v>
      </c>
      <c r="DW101" s="300"/>
    </row>
    <row r="102" spans="2:127">
      <c r="B102" s="298">
        <f>SUM(F102:F106)</f>
        <v>0</v>
      </c>
      <c r="C102" s="299" t="s">
        <v>181</v>
      </c>
      <c r="D102" s="300"/>
      <c r="E102" s="300"/>
      <c r="F102" s="300"/>
      <c r="G102" s="300"/>
      <c r="H102" s="300"/>
      <c r="I102" s="300"/>
      <c r="J102" s="300"/>
      <c r="L102" s="298">
        <f>SUM(P102:P106)</f>
        <v>0</v>
      </c>
      <c r="M102" s="299" t="s">
        <v>181</v>
      </c>
      <c r="N102" s="300"/>
      <c r="O102" s="300"/>
      <c r="P102" s="300"/>
      <c r="Q102" s="300"/>
      <c r="R102" s="300"/>
      <c r="S102" s="300"/>
      <c r="T102" s="300"/>
      <c r="V102" s="298">
        <f>SUM(Z102:Z106)</f>
        <v>0</v>
      </c>
      <c r="W102" s="299" t="s">
        <v>181</v>
      </c>
      <c r="X102" s="300"/>
      <c r="Y102" s="300"/>
      <c r="Z102" s="300"/>
      <c r="AA102" s="300"/>
      <c r="AB102" s="300"/>
      <c r="AC102" s="300"/>
      <c r="AD102" s="300"/>
      <c r="AF102" s="298">
        <f>SUM(AJ102:AJ106)</f>
        <v>0</v>
      </c>
      <c r="AG102" s="299" t="s">
        <v>181</v>
      </c>
      <c r="AH102" s="300"/>
      <c r="AI102" s="300"/>
      <c r="AJ102" s="300"/>
      <c r="AK102" s="300"/>
      <c r="AL102" s="300"/>
      <c r="AM102" s="300"/>
      <c r="AN102" s="300"/>
      <c r="AP102" s="298">
        <f>SUM(AT102:AT106)</f>
        <v>0</v>
      </c>
      <c r="AQ102" s="299" t="s">
        <v>181</v>
      </c>
      <c r="AR102" s="300"/>
      <c r="AS102" s="300"/>
      <c r="AT102" s="300"/>
      <c r="AU102" s="300"/>
      <c r="AV102" s="300"/>
      <c r="AW102" s="300"/>
      <c r="AX102" s="300"/>
      <c r="BA102" s="298">
        <f>SUM(BE102:BE106)</f>
        <v>0</v>
      </c>
      <c r="BB102" s="299" t="s">
        <v>181</v>
      </c>
      <c r="BC102" s="300"/>
      <c r="BD102" s="300"/>
      <c r="BE102" s="300"/>
      <c r="BF102" s="300"/>
      <c r="BG102" s="300"/>
      <c r="BH102" s="300"/>
      <c r="BI102" s="300"/>
      <c r="BL102" s="298">
        <f>SUM(BP102:BP106)</f>
        <v>0</v>
      </c>
      <c r="BM102" s="299" t="s">
        <v>181</v>
      </c>
      <c r="BN102" s="300"/>
      <c r="BO102" s="300"/>
      <c r="BP102" s="300"/>
      <c r="BQ102" s="300"/>
      <c r="BR102" s="300"/>
      <c r="BS102" s="300"/>
      <c r="BT102" s="300"/>
      <c r="BW102" s="298">
        <f>SUM(CA102:CA106)</f>
        <v>0</v>
      </c>
      <c r="BX102" s="299" t="s">
        <v>181</v>
      </c>
      <c r="BY102" s="300"/>
      <c r="BZ102" s="300"/>
      <c r="CA102" s="300"/>
      <c r="CB102" s="300"/>
      <c r="CC102" s="300"/>
      <c r="CD102" s="300"/>
      <c r="CE102" s="300"/>
      <c r="CH102" s="298">
        <f>SUM(CL102:CL106)</f>
        <v>0</v>
      </c>
      <c r="CI102" s="299" t="s">
        <v>181</v>
      </c>
      <c r="CJ102" s="300"/>
      <c r="CK102" s="300"/>
      <c r="CL102" s="300"/>
      <c r="CM102" s="300"/>
      <c r="CN102" s="300"/>
      <c r="CO102" s="300"/>
      <c r="CP102" s="300"/>
      <c r="CS102" s="298">
        <f>SUM(CW102:CW106)</f>
        <v>0</v>
      </c>
      <c r="CT102" s="299" t="s">
        <v>181</v>
      </c>
      <c r="CU102" s="300"/>
      <c r="CV102" s="300"/>
      <c r="CW102" s="300"/>
      <c r="CX102" s="300"/>
      <c r="CY102" s="300"/>
      <c r="CZ102" s="300"/>
      <c r="DA102" s="300"/>
      <c r="DD102" s="298">
        <f>SUM(DH102:DH106)</f>
        <v>0</v>
      </c>
      <c r="DE102" s="299" t="s">
        <v>181</v>
      </c>
      <c r="DF102" s="300"/>
      <c r="DG102" s="300"/>
      <c r="DH102" s="300"/>
      <c r="DI102" s="300"/>
      <c r="DJ102" s="300"/>
      <c r="DK102" s="300"/>
      <c r="DL102" s="300"/>
      <c r="DO102" s="298">
        <f>SUM(DS102:DS106)</f>
        <v>0</v>
      </c>
      <c r="DP102" s="299" t="s">
        <v>181</v>
      </c>
      <c r="DQ102" s="300"/>
      <c r="DR102" s="300"/>
      <c r="DS102" s="300"/>
      <c r="DT102" s="300"/>
      <c r="DU102" s="300"/>
      <c r="DV102" s="300"/>
      <c r="DW102" s="300"/>
    </row>
    <row r="103" spans="2:127">
      <c r="B103" s="298"/>
      <c r="C103" s="299"/>
      <c r="D103" s="300"/>
      <c r="E103" s="300"/>
      <c r="F103" s="300"/>
      <c r="G103" s="300"/>
      <c r="H103" s="300"/>
      <c r="I103" s="300"/>
      <c r="J103" s="300"/>
      <c r="L103" s="298"/>
      <c r="M103" s="299"/>
      <c r="N103" s="300"/>
      <c r="O103" s="300"/>
      <c r="P103" s="300"/>
      <c r="Q103" s="300"/>
      <c r="R103" s="300"/>
      <c r="S103" s="300"/>
      <c r="T103" s="300"/>
      <c r="V103" s="298"/>
      <c r="W103" s="299"/>
      <c r="X103" s="300"/>
      <c r="Y103" s="300"/>
      <c r="Z103" s="300"/>
      <c r="AA103" s="300"/>
      <c r="AB103" s="300"/>
      <c r="AC103" s="300"/>
      <c r="AD103" s="300"/>
      <c r="AF103" s="298"/>
      <c r="AG103" s="299"/>
      <c r="AH103" s="300"/>
      <c r="AI103" s="300"/>
      <c r="AJ103" s="300"/>
      <c r="AK103" s="300"/>
      <c r="AL103" s="300"/>
      <c r="AM103" s="300"/>
      <c r="AN103" s="300"/>
      <c r="AP103" s="298"/>
      <c r="AQ103" s="299"/>
      <c r="AR103" s="300"/>
      <c r="AS103" s="300"/>
      <c r="AT103" s="300"/>
      <c r="AU103" s="300"/>
      <c r="AV103" s="300"/>
      <c r="AW103" s="300"/>
      <c r="AX103" s="300"/>
      <c r="BA103" s="298"/>
      <c r="BB103" s="299"/>
      <c r="BC103" s="300"/>
      <c r="BD103" s="300"/>
      <c r="BE103" s="300"/>
      <c r="BF103" s="300"/>
      <c r="BG103" s="300"/>
      <c r="BH103" s="300"/>
      <c r="BI103" s="300"/>
      <c r="BL103" s="298"/>
      <c r="BM103" s="299"/>
      <c r="BN103" s="300"/>
      <c r="BO103" s="300"/>
      <c r="BP103" s="300"/>
      <c r="BQ103" s="300"/>
      <c r="BR103" s="300"/>
      <c r="BS103" s="300"/>
      <c r="BT103" s="300"/>
      <c r="BW103" s="298"/>
      <c r="BX103" s="299"/>
      <c r="BY103" s="300"/>
      <c r="BZ103" s="300"/>
      <c r="CA103" s="300"/>
      <c r="CB103" s="300"/>
      <c r="CC103" s="300"/>
      <c r="CD103" s="300"/>
      <c r="CE103" s="300"/>
      <c r="CH103" s="298"/>
      <c r="CI103" s="299"/>
      <c r="CJ103" s="300"/>
      <c r="CK103" s="300"/>
      <c r="CL103" s="300"/>
      <c r="CM103" s="300"/>
      <c r="CN103" s="300"/>
      <c r="CO103" s="300"/>
      <c r="CP103" s="300"/>
      <c r="CS103" s="298"/>
      <c r="CT103" s="299"/>
      <c r="CU103" s="300"/>
      <c r="CV103" s="300"/>
      <c r="CW103" s="300"/>
      <c r="CX103" s="300"/>
      <c r="CY103" s="300"/>
      <c r="CZ103" s="300"/>
      <c r="DA103" s="300"/>
      <c r="DD103" s="298"/>
      <c r="DE103" s="299"/>
      <c r="DF103" s="300"/>
      <c r="DG103" s="300"/>
      <c r="DH103" s="300"/>
      <c r="DI103" s="300"/>
      <c r="DJ103" s="300"/>
      <c r="DK103" s="300"/>
      <c r="DL103" s="300"/>
      <c r="DO103" s="298"/>
      <c r="DP103" s="299"/>
      <c r="DQ103" s="300"/>
      <c r="DR103" s="300"/>
      <c r="DS103" s="300"/>
      <c r="DT103" s="300"/>
      <c r="DU103" s="300"/>
      <c r="DV103" s="300"/>
      <c r="DW103" s="300"/>
    </row>
    <row r="104" spans="2:127">
      <c r="B104" s="298"/>
      <c r="C104" s="299"/>
      <c r="D104" s="300"/>
      <c r="E104" s="300"/>
      <c r="F104" s="300"/>
      <c r="G104" s="300"/>
      <c r="H104" s="300"/>
      <c r="I104" s="300"/>
      <c r="J104" s="300"/>
      <c r="L104" s="298"/>
      <c r="M104" s="299"/>
      <c r="N104" s="300"/>
      <c r="O104" s="300"/>
      <c r="P104" s="300"/>
      <c r="Q104" s="300"/>
      <c r="R104" s="300"/>
      <c r="S104" s="300"/>
      <c r="T104" s="300"/>
      <c r="V104" s="298"/>
      <c r="W104" s="299"/>
      <c r="X104" s="300"/>
      <c r="Y104" s="300"/>
      <c r="Z104" s="300"/>
      <c r="AA104" s="300"/>
      <c r="AB104" s="300"/>
      <c r="AC104" s="300"/>
      <c r="AD104" s="300"/>
      <c r="AF104" s="298"/>
      <c r="AG104" s="299"/>
      <c r="AH104" s="300"/>
      <c r="AI104" s="300"/>
      <c r="AJ104" s="300"/>
      <c r="AK104" s="300"/>
      <c r="AL104" s="300"/>
      <c r="AM104" s="300"/>
      <c r="AN104" s="300"/>
      <c r="AP104" s="298"/>
      <c r="AQ104" s="299"/>
      <c r="AR104" s="300"/>
      <c r="AS104" s="300"/>
      <c r="AT104" s="300"/>
      <c r="AU104" s="300"/>
      <c r="AV104" s="300"/>
      <c r="AW104" s="300"/>
      <c r="AX104" s="300"/>
      <c r="BA104" s="298"/>
      <c r="BB104" s="299"/>
      <c r="BC104" s="300"/>
      <c r="BD104" s="300"/>
      <c r="BE104" s="300"/>
      <c r="BF104" s="300"/>
      <c r="BG104" s="300"/>
      <c r="BH104" s="300"/>
      <c r="BI104" s="300"/>
      <c r="BL104" s="298"/>
      <c r="BM104" s="299"/>
      <c r="BN104" s="300"/>
      <c r="BO104" s="300"/>
      <c r="BP104" s="300"/>
      <c r="BQ104" s="300"/>
      <c r="BR104" s="300"/>
      <c r="BS104" s="300"/>
      <c r="BT104" s="300"/>
      <c r="BW104" s="298"/>
      <c r="BX104" s="299"/>
      <c r="BY104" s="300"/>
      <c r="BZ104" s="300"/>
      <c r="CA104" s="300"/>
      <c r="CB104" s="300"/>
      <c r="CC104" s="300"/>
      <c r="CD104" s="300"/>
      <c r="CE104" s="300"/>
      <c r="CH104" s="298"/>
      <c r="CI104" s="299"/>
      <c r="CJ104" s="300"/>
      <c r="CK104" s="300"/>
      <c r="CL104" s="300"/>
      <c r="CM104" s="300"/>
      <c r="CN104" s="300"/>
      <c r="CO104" s="300"/>
      <c r="CP104" s="300"/>
      <c r="CS104" s="298"/>
      <c r="CT104" s="299"/>
      <c r="CU104" s="300"/>
      <c r="CV104" s="300"/>
      <c r="CW104" s="300"/>
      <c r="CX104" s="300"/>
      <c r="CY104" s="300"/>
      <c r="CZ104" s="300"/>
      <c r="DA104" s="300"/>
      <c r="DD104" s="298"/>
      <c r="DE104" s="299"/>
      <c r="DF104" s="300"/>
      <c r="DG104" s="300"/>
      <c r="DH104" s="300"/>
      <c r="DI104" s="300"/>
      <c r="DJ104" s="300"/>
      <c r="DK104" s="300"/>
      <c r="DL104" s="300"/>
      <c r="DO104" s="298"/>
      <c r="DP104" s="299"/>
      <c r="DQ104" s="300"/>
      <c r="DR104" s="300"/>
      <c r="DS104" s="300"/>
      <c r="DT104" s="300"/>
      <c r="DU104" s="300"/>
      <c r="DV104" s="300"/>
      <c r="DW104" s="300"/>
    </row>
    <row r="105" spans="2:127">
      <c r="B105" s="298"/>
      <c r="C105" s="299"/>
      <c r="D105" s="300"/>
      <c r="E105" s="300"/>
      <c r="F105" s="300"/>
      <c r="G105" s="300"/>
      <c r="H105" s="300"/>
      <c r="I105" s="300"/>
      <c r="J105" s="300"/>
      <c r="L105" s="298"/>
      <c r="M105" s="299"/>
      <c r="N105" s="300"/>
      <c r="O105" s="300"/>
      <c r="P105" s="300"/>
      <c r="Q105" s="300"/>
      <c r="R105" s="300"/>
      <c r="S105" s="300"/>
      <c r="T105" s="300"/>
      <c r="V105" s="298"/>
      <c r="W105" s="299"/>
      <c r="X105" s="300"/>
      <c r="Y105" s="300"/>
      <c r="Z105" s="300"/>
      <c r="AA105" s="300"/>
      <c r="AB105" s="300"/>
      <c r="AC105" s="300"/>
      <c r="AD105" s="300"/>
      <c r="AF105" s="298"/>
      <c r="AG105" s="299"/>
      <c r="AH105" s="300"/>
      <c r="AI105" s="300"/>
      <c r="AJ105" s="300"/>
      <c r="AK105" s="300"/>
      <c r="AL105" s="300"/>
      <c r="AM105" s="300"/>
      <c r="AN105" s="300"/>
      <c r="AP105" s="298"/>
      <c r="AQ105" s="299"/>
      <c r="AR105" s="300"/>
      <c r="AS105" s="300"/>
      <c r="AT105" s="300"/>
      <c r="AU105" s="300"/>
      <c r="AV105" s="300"/>
      <c r="AW105" s="300"/>
      <c r="AX105" s="300"/>
      <c r="BA105" s="298"/>
      <c r="BB105" s="299"/>
      <c r="BC105" s="300"/>
      <c r="BD105" s="300"/>
      <c r="BE105" s="300"/>
      <c r="BF105" s="300"/>
      <c r="BG105" s="300"/>
      <c r="BH105" s="300"/>
      <c r="BI105" s="300"/>
      <c r="BL105" s="298"/>
      <c r="BM105" s="299"/>
      <c r="BN105" s="300"/>
      <c r="BO105" s="300"/>
      <c r="BP105" s="300"/>
      <c r="BQ105" s="300"/>
      <c r="BR105" s="300"/>
      <c r="BS105" s="300"/>
      <c r="BT105" s="300"/>
      <c r="BW105" s="298"/>
      <c r="BX105" s="299"/>
      <c r="BY105" s="300"/>
      <c r="BZ105" s="300"/>
      <c r="CA105" s="300"/>
      <c r="CB105" s="300"/>
      <c r="CC105" s="300"/>
      <c r="CD105" s="300"/>
      <c r="CE105" s="300"/>
      <c r="CH105" s="298"/>
      <c r="CI105" s="299"/>
      <c r="CJ105" s="300"/>
      <c r="CK105" s="300"/>
      <c r="CL105" s="300"/>
      <c r="CM105" s="300"/>
      <c r="CN105" s="300"/>
      <c r="CO105" s="300"/>
      <c r="CP105" s="300"/>
      <c r="CS105" s="298"/>
      <c r="CT105" s="299"/>
      <c r="CU105" s="300"/>
      <c r="CV105" s="300"/>
      <c r="CW105" s="300"/>
      <c r="CX105" s="300"/>
      <c r="CY105" s="300"/>
      <c r="CZ105" s="300"/>
      <c r="DA105" s="300"/>
      <c r="DD105" s="298"/>
      <c r="DE105" s="299"/>
      <c r="DF105" s="300"/>
      <c r="DG105" s="300"/>
      <c r="DH105" s="300"/>
      <c r="DI105" s="300"/>
      <c r="DJ105" s="300"/>
      <c r="DK105" s="300"/>
      <c r="DL105" s="300"/>
      <c r="DO105" s="298"/>
      <c r="DP105" s="299"/>
      <c r="DQ105" s="300"/>
      <c r="DR105" s="300"/>
      <c r="DS105" s="300"/>
      <c r="DT105" s="300"/>
      <c r="DU105" s="300"/>
      <c r="DV105" s="300"/>
      <c r="DW105" s="300"/>
    </row>
    <row r="106" spans="2:127">
      <c r="B106" s="298"/>
      <c r="C106" s="299"/>
      <c r="D106" s="300"/>
      <c r="E106" s="300"/>
      <c r="F106" s="300"/>
      <c r="G106" s="300"/>
      <c r="H106" s="300"/>
      <c r="I106" s="300"/>
      <c r="J106" s="300"/>
      <c r="L106" s="298"/>
      <c r="M106" s="299"/>
      <c r="N106" s="300"/>
      <c r="O106" s="300"/>
      <c r="P106" s="300"/>
      <c r="Q106" s="300"/>
      <c r="R106" s="300"/>
      <c r="S106" s="300"/>
      <c r="T106" s="300"/>
      <c r="V106" s="298"/>
      <c r="W106" s="299"/>
      <c r="X106" s="300"/>
      <c r="Y106" s="300"/>
      <c r="Z106" s="300"/>
      <c r="AA106" s="300"/>
      <c r="AB106" s="300"/>
      <c r="AC106" s="300"/>
      <c r="AD106" s="300"/>
      <c r="AF106" s="298"/>
      <c r="AG106" s="299"/>
      <c r="AH106" s="300"/>
      <c r="AI106" s="300"/>
      <c r="AJ106" s="300"/>
      <c r="AK106" s="300"/>
      <c r="AL106" s="300"/>
      <c r="AM106" s="300"/>
      <c r="AN106" s="300"/>
      <c r="AP106" s="298"/>
      <c r="AQ106" s="299"/>
      <c r="AR106" s="300"/>
      <c r="AS106" s="300"/>
      <c r="AT106" s="300"/>
      <c r="AU106" s="300"/>
      <c r="AV106" s="300"/>
      <c r="AW106" s="300"/>
      <c r="AX106" s="300"/>
      <c r="BA106" s="298"/>
      <c r="BB106" s="299"/>
      <c r="BC106" s="300"/>
      <c r="BD106" s="300"/>
      <c r="BE106" s="300"/>
      <c r="BF106" s="300"/>
      <c r="BG106" s="300"/>
      <c r="BH106" s="300"/>
      <c r="BI106" s="300"/>
      <c r="BL106" s="298"/>
      <c r="BM106" s="299"/>
      <c r="BN106" s="300"/>
      <c r="BO106" s="300"/>
      <c r="BP106" s="300"/>
      <c r="BQ106" s="300"/>
      <c r="BR106" s="300"/>
      <c r="BS106" s="300"/>
      <c r="BT106" s="300"/>
      <c r="BW106" s="298"/>
      <c r="BX106" s="299"/>
      <c r="BY106" s="300"/>
      <c r="BZ106" s="300"/>
      <c r="CA106" s="300"/>
      <c r="CB106" s="300"/>
      <c r="CC106" s="300"/>
      <c r="CD106" s="300"/>
      <c r="CE106" s="300"/>
      <c r="CH106" s="298"/>
      <c r="CI106" s="299"/>
      <c r="CJ106" s="300"/>
      <c r="CK106" s="300"/>
      <c r="CL106" s="300"/>
      <c r="CM106" s="300"/>
      <c r="CN106" s="300"/>
      <c r="CO106" s="300"/>
      <c r="CP106" s="300"/>
      <c r="CS106" s="298"/>
      <c r="CT106" s="299"/>
      <c r="CU106" s="300"/>
      <c r="CV106" s="300"/>
      <c r="CW106" s="300"/>
      <c r="CX106" s="300"/>
      <c r="CY106" s="300"/>
      <c r="CZ106" s="300"/>
      <c r="DA106" s="300"/>
      <c r="DD106" s="298"/>
      <c r="DE106" s="299"/>
      <c r="DF106" s="300"/>
      <c r="DG106" s="300"/>
      <c r="DH106" s="300"/>
      <c r="DI106" s="300"/>
      <c r="DJ106" s="300"/>
      <c r="DK106" s="300"/>
      <c r="DL106" s="300"/>
      <c r="DO106" s="298"/>
      <c r="DP106" s="299"/>
      <c r="DQ106" s="300"/>
      <c r="DR106" s="300"/>
      <c r="DS106" s="300"/>
      <c r="DT106" s="300"/>
      <c r="DU106" s="300"/>
      <c r="DV106" s="300"/>
      <c r="DW106" s="300"/>
    </row>
    <row r="107" spans="2:127">
      <c r="B107" s="294" t="s">
        <v>792</v>
      </c>
      <c r="C107" s="295"/>
      <c r="D107" s="296" t="s">
        <v>175</v>
      </c>
      <c r="E107" s="296" t="s">
        <v>176</v>
      </c>
      <c r="F107" s="296" t="s">
        <v>177</v>
      </c>
      <c r="G107" s="296" t="s">
        <v>178</v>
      </c>
      <c r="H107" s="296" t="s">
        <v>179</v>
      </c>
      <c r="I107" s="296" t="s">
        <v>180</v>
      </c>
      <c r="J107" s="296"/>
      <c r="L107" s="294" t="s">
        <v>792</v>
      </c>
      <c r="M107" s="295"/>
      <c r="N107" s="296" t="s">
        <v>175</v>
      </c>
      <c r="O107" s="296" t="s">
        <v>176</v>
      </c>
      <c r="P107" s="296" t="s">
        <v>177</v>
      </c>
      <c r="Q107" s="296" t="s">
        <v>178</v>
      </c>
      <c r="R107" s="296" t="s">
        <v>179</v>
      </c>
      <c r="S107" s="296" t="s">
        <v>180</v>
      </c>
      <c r="T107" s="296"/>
      <c r="V107" s="294" t="s">
        <v>792</v>
      </c>
      <c r="W107" s="295"/>
      <c r="X107" s="296" t="s">
        <v>175</v>
      </c>
      <c r="Y107" s="296" t="s">
        <v>176</v>
      </c>
      <c r="Z107" s="296" t="s">
        <v>177</v>
      </c>
      <c r="AA107" s="296" t="s">
        <v>178</v>
      </c>
      <c r="AB107" s="296" t="s">
        <v>179</v>
      </c>
      <c r="AC107" s="296" t="s">
        <v>180</v>
      </c>
      <c r="AD107" s="296"/>
      <c r="AF107" s="294" t="s">
        <v>792</v>
      </c>
      <c r="AG107" s="295"/>
      <c r="AH107" s="296" t="s">
        <v>175</v>
      </c>
      <c r="AI107" s="296" t="s">
        <v>176</v>
      </c>
      <c r="AJ107" s="296" t="s">
        <v>177</v>
      </c>
      <c r="AK107" s="296" t="s">
        <v>178</v>
      </c>
      <c r="AL107" s="296" t="s">
        <v>179</v>
      </c>
      <c r="AM107" s="296" t="s">
        <v>180</v>
      </c>
      <c r="AN107" s="296"/>
      <c r="AP107" s="294" t="s">
        <v>792</v>
      </c>
      <c r="AQ107" s="295"/>
      <c r="AR107" s="296" t="s">
        <v>175</v>
      </c>
      <c r="AS107" s="296" t="s">
        <v>176</v>
      </c>
      <c r="AT107" s="296" t="s">
        <v>177</v>
      </c>
      <c r="AU107" s="296" t="s">
        <v>178</v>
      </c>
      <c r="AV107" s="296" t="s">
        <v>179</v>
      </c>
      <c r="AW107" s="296" t="s">
        <v>180</v>
      </c>
      <c r="AX107" s="296"/>
      <c r="BA107" s="294" t="s">
        <v>792</v>
      </c>
      <c r="BB107" s="295"/>
      <c r="BC107" s="296" t="s">
        <v>175</v>
      </c>
      <c r="BD107" s="296" t="s">
        <v>176</v>
      </c>
      <c r="BE107" s="296" t="s">
        <v>177</v>
      </c>
      <c r="BF107" s="296" t="s">
        <v>178</v>
      </c>
      <c r="BG107" s="296" t="s">
        <v>179</v>
      </c>
      <c r="BH107" s="296" t="s">
        <v>180</v>
      </c>
      <c r="BI107" s="296"/>
      <c r="BL107" s="294" t="s">
        <v>792</v>
      </c>
      <c r="BM107" s="295"/>
      <c r="BN107" s="296" t="s">
        <v>175</v>
      </c>
      <c r="BO107" s="296" t="s">
        <v>176</v>
      </c>
      <c r="BP107" s="296" t="s">
        <v>177</v>
      </c>
      <c r="BQ107" s="296" t="s">
        <v>178</v>
      </c>
      <c r="BR107" s="296" t="s">
        <v>179</v>
      </c>
      <c r="BS107" s="296" t="s">
        <v>180</v>
      </c>
      <c r="BT107" s="296"/>
      <c r="BW107" s="294" t="s">
        <v>792</v>
      </c>
      <c r="BX107" s="295"/>
      <c r="BY107" s="296" t="s">
        <v>175</v>
      </c>
      <c r="BZ107" s="296" t="s">
        <v>176</v>
      </c>
      <c r="CA107" s="296" t="s">
        <v>177</v>
      </c>
      <c r="CB107" s="296" t="s">
        <v>178</v>
      </c>
      <c r="CC107" s="296" t="s">
        <v>179</v>
      </c>
      <c r="CD107" s="296" t="s">
        <v>180</v>
      </c>
      <c r="CE107" s="296"/>
      <c r="CH107" s="294" t="s">
        <v>792</v>
      </c>
      <c r="CI107" s="295"/>
      <c r="CJ107" s="296" t="s">
        <v>175</v>
      </c>
      <c r="CK107" s="296" t="s">
        <v>176</v>
      </c>
      <c r="CL107" s="296" t="s">
        <v>177</v>
      </c>
      <c r="CM107" s="296" t="s">
        <v>178</v>
      </c>
      <c r="CN107" s="296" t="s">
        <v>179</v>
      </c>
      <c r="CO107" s="296" t="s">
        <v>180</v>
      </c>
      <c r="CP107" s="296"/>
      <c r="CS107" s="294" t="s">
        <v>792</v>
      </c>
      <c r="CT107" s="295"/>
      <c r="CU107" s="296" t="s">
        <v>175</v>
      </c>
      <c r="CV107" s="296" t="s">
        <v>176</v>
      </c>
      <c r="CW107" s="296" t="s">
        <v>177</v>
      </c>
      <c r="CX107" s="296" t="s">
        <v>178</v>
      </c>
      <c r="CY107" s="296" t="s">
        <v>179</v>
      </c>
      <c r="CZ107" s="296" t="s">
        <v>180</v>
      </c>
      <c r="DA107" s="296"/>
      <c r="DD107" s="294" t="s">
        <v>792</v>
      </c>
      <c r="DE107" s="295"/>
      <c r="DF107" s="296" t="s">
        <v>175</v>
      </c>
      <c r="DG107" s="296" t="s">
        <v>176</v>
      </c>
      <c r="DH107" s="296" t="s">
        <v>177</v>
      </c>
      <c r="DI107" s="296" t="s">
        <v>178</v>
      </c>
      <c r="DJ107" s="296" t="s">
        <v>179</v>
      </c>
      <c r="DK107" s="296" t="s">
        <v>180</v>
      </c>
      <c r="DL107" s="296"/>
      <c r="DO107" s="294" t="s">
        <v>792</v>
      </c>
      <c r="DP107" s="295"/>
      <c r="DQ107" s="296" t="s">
        <v>175</v>
      </c>
      <c r="DR107" s="296" t="s">
        <v>176</v>
      </c>
      <c r="DS107" s="296" t="s">
        <v>177</v>
      </c>
      <c r="DT107" s="296" t="s">
        <v>178</v>
      </c>
      <c r="DU107" s="296" t="s">
        <v>179</v>
      </c>
      <c r="DV107" s="296" t="s">
        <v>180</v>
      </c>
      <c r="DW107" s="296"/>
    </row>
    <row r="108" spans="2:127">
      <c r="B108" s="294">
        <f>SUM(G109:G113)</f>
        <v>49.879328644441422</v>
      </c>
      <c r="C108" s="295" t="s">
        <v>783</v>
      </c>
      <c r="D108" s="296"/>
      <c r="E108" s="296"/>
      <c r="F108" s="296" t="s">
        <v>181</v>
      </c>
      <c r="G108" s="296" t="s">
        <v>787</v>
      </c>
      <c r="H108" s="296" t="s">
        <v>86</v>
      </c>
      <c r="I108" s="296" t="s">
        <v>119</v>
      </c>
      <c r="J108" s="296"/>
      <c r="L108" s="294">
        <f>SUM(Q109:Q113)</f>
        <v>50.793452088165481</v>
      </c>
      <c r="M108" s="295" t="s">
        <v>783</v>
      </c>
      <c r="N108" s="296"/>
      <c r="O108" s="296"/>
      <c r="P108" s="296" t="s">
        <v>181</v>
      </c>
      <c r="Q108" s="296" t="s">
        <v>787</v>
      </c>
      <c r="R108" s="296" t="s">
        <v>86</v>
      </c>
      <c r="S108" s="296" t="s">
        <v>119</v>
      </c>
      <c r="T108" s="296"/>
      <c r="V108" s="294">
        <f>SUM(AA109:AA113)</f>
        <v>125.85289327332514</v>
      </c>
      <c r="W108" s="295" t="s">
        <v>783</v>
      </c>
      <c r="X108" s="296"/>
      <c r="Y108" s="296"/>
      <c r="Z108" s="296" t="s">
        <v>181</v>
      </c>
      <c r="AA108" s="296" t="s">
        <v>787</v>
      </c>
      <c r="AB108" s="296" t="s">
        <v>86</v>
      </c>
      <c r="AC108" s="296" t="s">
        <v>119</v>
      </c>
      <c r="AD108" s="296"/>
      <c r="AF108" s="294">
        <f>SUM(AK109:AK113)</f>
        <v>0</v>
      </c>
      <c r="AG108" s="295" t="s">
        <v>783</v>
      </c>
      <c r="AH108" s="296"/>
      <c r="AI108" s="296"/>
      <c r="AJ108" s="296" t="s">
        <v>181</v>
      </c>
      <c r="AK108" s="296" t="s">
        <v>787</v>
      </c>
      <c r="AL108" s="296" t="s">
        <v>86</v>
      </c>
      <c r="AM108" s="296" t="s">
        <v>119</v>
      </c>
      <c r="AN108" s="296"/>
      <c r="AP108" s="294">
        <f>SUM(AU109:AU113)</f>
        <v>0</v>
      </c>
      <c r="AQ108" s="295" t="s">
        <v>783</v>
      </c>
      <c r="AR108" s="296"/>
      <c r="AS108" s="296"/>
      <c r="AT108" s="296" t="s">
        <v>181</v>
      </c>
      <c r="AU108" s="296" t="s">
        <v>787</v>
      </c>
      <c r="AV108" s="296" t="s">
        <v>86</v>
      </c>
      <c r="AW108" s="296" t="s">
        <v>119</v>
      </c>
      <c r="AX108" s="296"/>
      <c r="BA108" s="294">
        <f>SUM(BF109:BF113)</f>
        <v>0</v>
      </c>
      <c r="BB108" s="295" t="s">
        <v>783</v>
      </c>
      <c r="BC108" s="296"/>
      <c r="BD108" s="296"/>
      <c r="BE108" s="296" t="s">
        <v>181</v>
      </c>
      <c r="BF108" s="296" t="s">
        <v>787</v>
      </c>
      <c r="BG108" s="296" t="s">
        <v>86</v>
      </c>
      <c r="BH108" s="296" t="s">
        <v>119</v>
      </c>
      <c r="BI108" s="296"/>
      <c r="BL108" s="294">
        <f>SUM(BQ109:BQ113)</f>
        <v>0</v>
      </c>
      <c r="BM108" s="295" t="s">
        <v>783</v>
      </c>
      <c r="BN108" s="296"/>
      <c r="BO108" s="296"/>
      <c r="BP108" s="296" t="s">
        <v>181</v>
      </c>
      <c r="BQ108" s="296" t="s">
        <v>787</v>
      </c>
      <c r="BR108" s="296" t="s">
        <v>86</v>
      </c>
      <c r="BS108" s="296" t="s">
        <v>119</v>
      </c>
      <c r="BT108" s="296"/>
      <c r="BW108" s="294">
        <f>SUM(CB109:CB113)</f>
        <v>0</v>
      </c>
      <c r="BX108" s="295" t="s">
        <v>783</v>
      </c>
      <c r="BY108" s="296"/>
      <c r="BZ108" s="296"/>
      <c r="CA108" s="296" t="s">
        <v>181</v>
      </c>
      <c r="CB108" s="296" t="s">
        <v>787</v>
      </c>
      <c r="CC108" s="296" t="s">
        <v>86</v>
      </c>
      <c r="CD108" s="296" t="s">
        <v>119</v>
      </c>
      <c r="CE108" s="296"/>
      <c r="CH108" s="294">
        <f>SUM(CM109:CM113)</f>
        <v>0</v>
      </c>
      <c r="CI108" s="295" t="s">
        <v>783</v>
      </c>
      <c r="CJ108" s="296"/>
      <c r="CK108" s="296"/>
      <c r="CL108" s="296" t="s">
        <v>181</v>
      </c>
      <c r="CM108" s="296" t="s">
        <v>787</v>
      </c>
      <c r="CN108" s="296" t="s">
        <v>86</v>
      </c>
      <c r="CO108" s="296" t="s">
        <v>119</v>
      </c>
      <c r="CP108" s="296"/>
      <c r="CS108" s="294">
        <f>SUM(CX109:CX113)</f>
        <v>0</v>
      </c>
      <c r="CT108" s="295" t="s">
        <v>783</v>
      </c>
      <c r="CU108" s="296"/>
      <c r="CV108" s="296"/>
      <c r="CW108" s="296" t="s">
        <v>181</v>
      </c>
      <c r="CX108" s="296" t="s">
        <v>787</v>
      </c>
      <c r="CY108" s="296" t="s">
        <v>86</v>
      </c>
      <c r="CZ108" s="296" t="s">
        <v>119</v>
      </c>
      <c r="DA108" s="296"/>
      <c r="DD108" s="294">
        <f>SUM(DI109:DI113)</f>
        <v>0</v>
      </c>
      <c r="DE108" s="295" t="s">
        <v>783</v>
      </c>
      <c r="DF108" s="296"/>
      <c r="DG108" s="296"/>
      <c r="DH108" s="296" t="s">
        <v>181</v>
      </c>
      <c r="DI108" s="296" t="s">
        <v>787</v>
      </c>
      <c r="DJ108" s="296" t="s">
        <v>86</v>
      </c>
      <c r="DK108" s="296" t="s">
        <v>119</v>
      </c>
      <c r="DL108" s="296"/>
      <c r="DO108" s="294">
        <f>SUM(DT109:DT113)</f>
        <v>0</v>
      </c>
      <c r="DP108" s="295" t="s">
        <v>783</v>
      </c>
      <c r="DQ108" s="296"/>
      <c r="DR108" s="296"/>
      <c r="DS108" s="296" t="s">
        <v>181</v>
      </c>
      <c r="DT108" s="296" t="s">
        <v>787</v>
      </c>
      <c r="DU108" s="296" t="s">
        <v>86</v>
      </c>
      <c r="DV108" s="296" t="s">
        <v>119</v>
      </c>
      <c r="DW108" s="296"/>
    </row>
    <row r="109" spans="2:127">
      <c r="B109" s="294">
        <f>SUM(F109:F113)</f>
        <v>30369.341199219216</v>
      </c>
      <c r="C109" s="295" t="s">
        <v>181</v>
      </c>
      <c r="D109" s="839" t="s">
        <v>1237</v>
      </c>
      <c r="E109" s="764" t="s">
        <v>172</v>
      </c>
      <c r="F109" s="764">
        <v>30369.341199219216</v>
      </c>
      <c r="G109" s="764">
        <v>49.879328644441422</v>
      </c>
      <c r="H109" s="764"/>
      <c r="I109" s="764"/>
      <c r="J109" s="296"/>
      <c r="L109" s="294">
        <f>SUM(P109:P113)</f>
        <v>30925.910975018611</v>
      </c>
      <c r="M109" s="295" t="s">
        <v>181</v>
      </c>
      <c r="N109" s="839" t="s">
        <v>1237</v>
      </c>
      <c r="O109" s="764" t="s">
        <v>172</v>
      </c>
      <c r="P109" s="764">
        <v>30925.910975018611</v>
      </c>
      <c r="Q109" s="764">
        <v>50.793452088165481</v>
      </c>
      <c r="R109" s="764"/>
      <c r="S109" s="764"/>
      <c r="T109" s="296"/>
      <c r="V109" s="294">
        <f>SUM(Z109:Z113)</f>
        <v>76626.321175484889</v>
      </c>
      <c r="W109" s="295" t="s">
        <v>181</v>
      </c>
      <c r="X109" s="839" t="s">
        <v>1237</v>
      </c>
      <c r="Y109" s="764" t="s">
        <v>172</v>
      </c>
      <c r="Z109" s="764">
        <v>76626.321175484889</v>
      </c>
      <c r="AA109" s="764">
        <v>125.85289327332514</v>
      </c>
      <c r="AB109" s="764"/>
      <c r="AC109" s="764"/>
      <c r="AD109" s="296"/>
      <c r="AF109" s="294">
        <f>SUM(AJ109:AJ113)</f>
        <v>0</v>
      </c>
      <c r="AG109" s="295" t="s">
        <v>181</v>
      </c>
      <c r="AH109" s="764"/>
      <c r="AI109" s="764"/>
      <c r="AJ109" s="764"/>
      <c r="AK109" s="764"/>
      <c r="AL109" s="764"/>
      <c r="AM109" s="764"/>
      <c r="AN109" s="296"/>
      <c r="AP109" s="294">
        <f>SUM(AT109:AT113)</f>
        <v>0</v>
      </c>
      <c r="AQ109" s="295" t="s">
        <v>181</v>
      </c>
      <c r="AR109" s="764"/>
      <c r="AS109" s="764"/>
      <c r="AT109" s="764"/>
      <c r="AU109" s="764"/>
      <c r="AV109" s="764"/>
      <c r="AW109" s="764"/>
      <c r="AX109" s="296"/>
      <c r="BA109" s="294">
        <f>SUM(BE109:BE113)</f>
        <v>0</v>
      </c>
      <c r="BB109" s="295" t="s">
        <v>181</v>
      </c>
      <c r="BC109" s="764"/>
      <c r="BD109" s="764"/>
      <c r="BE109" s="764"/>
      <c r="BF109" s="764"/>
      <c r="BG109" s="764"/>
      <c r="BH109" s="764"/>
      <c r="BI109" s="296"/>
      <c r="BL109" s="294">
        <f>SUM(BP109:BP113)</f>
        <v>0</v>
      </c>
      <c r="BM109" s="295" t="s">
        <v>181</v>
      </c>
      <c r="BN109" s="764"/>
      <c r="BO109" s="764"/>
      <c r="BP109" s="764"/>
      <c r="BQ109" s="764"/>
      <c r="BR109" s="764"/>
      <c r="BS109" s="764"/>
      <c r="BT109" s="296"/>
      <c r="BW109" s="294">
        <f>SUM(CA109:CA113)</f>
        <v>0</v>
      </c>
      <c r="BX109" s="295" t="s">
        <v>181</v>
      </c>
      <c r="BY109" s="764"/>
      <c r="BZ109" s="764"/>
      <c r="CA109" s="764"/>
      <c r="CB109" s="764"/>
      <c r="CC109" s="764"/>
      <c r="CD109" s="764"/>
      <c r="CE109" s="296"/>
      <c r="CH109" s="294">
        <f>SUM(CL109:CL113)</f>
        <v>0</v>
      </c>
      <c r="CI109" s="295" t="s">
        <v>181</v>
      </c>
      <c r="CJ109" s="764"/>
      <c r="CK109" s="764"/>
      <c r="CL109" s="764"/>
      <c r="CM109" s="764"/>
      <c r="CN109" s="764"/>
      <c r="CO109" s="764"/>
      <c r="CP109" s="296"/>
      <c r="CS109" s="294">
        <f>SUM(CW109:CW113)</f>
        <v>0</v>
      </c>
      <c r="CT109" s="295" t="s">
        <v>181</v>
      </c>
      <c r="CU109" s="764"/>
      <c r="CV109" s="764"/>
      <c r="CW109" s="764"/>
      <c r="CX109" s="764"/>
      <c r="CY109" s="764"/>
      <c r="CZ109" s="764"/>
      <c r="DA109" s="296"/>
      <c r="DD109" s="294">
        <f>SUM(DH109:DH113)</f>
        <v>0</v>
      </c>
      <c r="DE109" s="295" t="s">
        <v>181</v>
      </c>
      <c r="DF109" s="764"/>
      <c r="DG109" s="764"/>
      <c r="DH109" s="764"/>
      <c r="DI109" s="764"/>
      <c r="DJ109" s="764"/>
      <c r="DK109" s="764"/>
      <c r="DL109" s="296"/>
      <c r="DO109" s="294">
        <f>SUM(DS109:DS113)</f>
        <v>0</v>
      </c>
      <c r="DP109" s="295" t="s">
        <v>181</v>
      </c>
      <c r="DQ109" s="764"/>
      <c r="DR109" s="764"/>
      <c r="DS109" s="764"/>
      <c r="DT109" s="764"/>
      <c r="DU109" s="764"/>
      <c r="DV109" s="764"/>
      <c r="DW109" s="296"/>
    </row>
    <row r="110" spans="2:127">
      <c r="B110" s="294"/>
      <c r="C110" s="295"/>
      <c r="D110" s="827"/>
      <c r="E110" s="827"/>
      <c r="F110" s="828"/>
      <c r="G110" s="827"/>
      <c r="H110" s="827"/>
      <c r="I110" s="827"/>
      <c r="J110" s="296"/>
      <c r="L110" s="294"/>
      <c r="M110" s="295"/>
      <c r="N110" s="829"/>
      <c r="O110" s="829"/>
      <c r="P110" s="840"/>
      <c r="Q110" s="829"/>
      <c r="R110" s="829"/>
      <c r="S110" s="829"/>
      <c r="T110" s="296"/>
      <c r="V110" s="294"/>
      <c r="W110" s="295"/>
      <c r="X110" s="827"/>
      <c r="Y110" s="827"/>
      <c r="Z110" s="828"/>
      <c r="AA110" s="827"/>
      <c r="AB110" s="827"/>
      <c r="AC110" s="827"/>
      <c r="AD110" s="296"/>
      <c r="AF110" s="294"/>
      <c r="AG110" s="295"/>
      <c r="AH110" s="827"/>
      <c r="AI110" s="827"/>
      <c r="AJ110" s="828"/>
      <c r="AK110" s="827"/>
      <c r="AL110" s="827"/>
      <c r="AM110" s="827"/>
      <c r="AN110" s="296"/>
      <c r="AP110" s="294"/>
      <c r="AQ110" s="295"/>
      <c r="AR110" s="827"/>
      <c r="AS110" s="827"/>
      <c r="AT110" s="828"/>
      <c r="AU110" s="827"/>
      <c r="AV110" s="827"/>
      <c r="AW110" s="827"/>
      <c r="AX110" s="296"/>
      <c r="BA110" s="294"/>
      <c r="BB110" s="295"/>
      <c r="BC110" s="827"/>
      <c r="BD110" s="827"/>
      <c r="BE110" s="828"/>
      <c r="BF110" s="827"/>
      <c r="BG110" s="827"/>
      <c r="BH110" s="827"/>
      <c r="BI110" s="296"/>
      <c r="BL110" s="294"/>
      <c r="BM110" s="295"/>
      <c r="BN110" s="827"/>
      <c r="BO110" s="827"/>
      <c r="BP110" s="828"/>
      <c r="BQ110" s="827"/>
      <c r="BR110" s="827"/>
      <c r="BS110" s="827"/>
      <c r="BT110" s="296"/>
      <c r="BW110" s="294"/>
      <c r="BX110" s="295"/>
      <c r="BY110" s="827"/>
      <c r="BZ110" s="827"/>
      <c r="CA110" s="828"/>
      <c r="CB110" s="827"/>
      <c r="CC110" s="827"/>
      <c r="CD110" s="827"/>
      <c r="CE110" s="296"/>
      <c r="CH110" s="294"/>
      <c r="CI110" s="295"/>
      <c r="CJ110" s="827"/>
      <c r="CK110" s="827"/>
      <c r="CL110" s="828"/>
      <c r="CM110" s="827"/>
      <c r="CN110" s="827"/>
      <c r="CO110" s="827"/>
      <c r="CP110" s="296"/>
      <c r="CS110" s="294"/>
      <c r="CT110" s="295"/>
      <c r="CU110" s="827"/>
      <c r="CV110" s="827"/>
      <c r="CW110" s="828"/>
      <c r="CX110" s="827"/>
      <c r="CY110" s="827"/>
      <c r="CZ110" s="827"/>
      <c r="DA110" s="296"/>
      <c r="DD110" s="294"/>
      <c r="DE110" s="295"/>
      <c r="DF110" s="827"/>
      <c r="DG110" s="827"/>
      <c r="DH110" s="828"/>
      <c r="DI110" s="827"/>
      <c r="DJ110" s="827"/>
      <c r="DK110" s="827"/>
      <c r="DL110" s="296"/>
      <c r="DO110" s="294"/>
      <c r="DP110" s="295"/>
      <c r="DQ110" s="827"/>
      <c r="DR110" s="827"/>
      <c r="DS110" s="828"/>
      <c r="DT110" s="827"/>
      <c r="DU110" s="827"/>
      <c r="DV110" s="827"/>
      <c r="DW110" s="296"/>
    </row>
    <row r="111" spans="2:127">
      <c r="B111" s="294"/>
      <c r="C111" s="295"/>
      <c r="D111" s="296"/>
      <c r="E111" s="296"/>
      <c r="F111" s="296"/>
      <c r="G111" s="296"/>
      <c r="H111" s="296"/>
      <c r="I111" s="296"/>
      <c r="J111" s="296"/>
      <c r="L111" s="294"/>
      <c r="M111" s="295"/>
      <c r="N111" s="296"/>
      <c r="O111" s="296"/>
      <c r="P111" s="296"/>
      <c r="Q111" s="296"/>
      <c r="R111" s="296"/>
      <c r="S111" s="296"/>
      <c r="T111" s="296"/>
      <c r="V111" s="294"/>
      <c r="W111" s="295"/>
      <c r="X111" s="296"/>
      <c r="Y111" s="296"/>
      <c r="Z111" s="296"/>
      <c r="AA111" s="296"/>
      <c r="AB111" s="296"/>
      <c r="AC111" s="296"/>
      <c r="AD111" s="296"/>
      <c r="AF111" s="294"/>
      <c r="AG111" s="295"/>
      <c r="AH111" s="296"/>
      <c r="AI111" s="296"/>
      <c r="AJ111" s="296"/>
      <c r="AK111" s="296"/>
      <c r="AL111" s="296"/>
      <c r="AM111" s="296"/>
      <c r="AN111" s="296"/>
      <c r="AP111" s="294"/>
      <c r="AQ111" s="295"/>
      <c r="AR111" s="296"/>
      <c r="AS111" s="296"/>
      <c r="AT111" s="296"/>
      <c r="AU111" s="296"/>
      <c r="AV111" s="296"/>
      <c r="AW111" s="296"/>
      <c r="AX111" s="296"/>
      <c r="BA111" s="294"/>
      <c r="BB111" s="295"/>
      <c r="BC111" s="296"/>
      <c r="BD111" s="296"/>
      <c r="BE111" s="296"/>
      <c r="BF111" s="296"/>
      <c r="BG111" s="296"/>
      <c r="BH111" s="296"/>
      <c r="BI111" s="296"/>
      <c r="BL111" s="294"/>
      <c r="BM111" s="295"/>
      <c r="BN111" s="296"/>
      <c r="BO111" s="296"/>
      <c r="BP111" s="296"/>
      <c r="BQ111" s="296"/>
      <c r="BR111" s="296"/>
      <c r="BS111" s="296"/>
      <c r="BT111" s="296"/>
      <c r="BW111" s="294"/>
      <c r="BX111" s="295"/>
      <c r="BY111" s="296"/>
      <c r="BZ111" s="296"/>
      <c r="CA111" s="296"/>
      <c r="CB111" s="296"/>
      <c r="CC111" s="296"/>
      <c r="CD111" s="296"/>
      <c r="CE111" s="296"/>
      <c r="CH111" s="294"/>
      <c r="CI111" s="295"/>
      <c r="CJ111" s="296"/>
      <c r="CK111" s="296"/>
      <c r="CL111" s="296"/>
      <c r="CM111" s="296"/>
      <c r="CN111" s="296"/>
      <c r="CO111" s="296"/>
      <c r="CP111" s="296"/>
      <c r="CS111" s="294"/>
      <c r="CT111" s="295"/>
      <c r="CU111" s="296"/>
      <c r="CV111" s="296"/>
      <c r="CW111" s="296"/>
      <c r="CX111" s="296"/>
      <c r="CY111" s="296"/>
      <c r="CZ111" s="296"/>
      <c r="DA111" s="296"/>
      <c r="DD111" s="294"/>
      <c r="DE111" s="295"/>
      <c r="DF111" s="296"/>
      <c r="DG111" s="296"/>
      <c r="DH111" s="296"/>
      <c r="DI111" s="296"/>
      <c r="DJ111" s="296"/>
      <c r="DK111" s="296"/>
      <c r="DL111" s="296"/>
      <c r="DO111" s="294"/>
      <c r="DP111" s="295"/>
      <c r="DQ111" s="296"/>
      <c r="DR111" s="296"/>
      <c r="DS111" s="296"/>
      <c r="DT111" s="296"/>
      <c r="DU111" s="296"/>
      <c r="DV111" s="296"/>
      <c r="DW111" s="296"/>
    </row>
    <row r="112" spans="2:127">
      <c r="B112" s="294"/>
      <c r="C112" s="295"/>
      <c r="D112" s="296"/>
      <c r="E112" s="296"/>
      <c r="F112" s="296"/>
      <c r="G112" s="296"/>
      <c r="H112" s="296"/>
      <c r="I112" s="296"/>
      <c r="J112" s="296"/>
      <c r="L112" s="294"/>
      <c r="M112" s="295"/>
      <c r="N112" s="296"/>
      <c r="O112" s="296"/>
      <c r="P112" s="296"/>
      <c r="Q112" s="296"/>
      <c r="R112" s="296"/>
      <c r="S112" s="296"/>
      <c r="T112" s="296"/>
      <c r="V112" s="294"/>
      <c r="W112" s="295"/>
      <c r="X112" s="296"/>
      <c r="Y112" s="296"/>
      <c r="Z112" s="296"/>
      <c r="AA112" s="296"/>
      <c r="AB112" s="296"/>
      <c r="AC112" s="296"/>
      <c r="AD112" s="296"/>
      <c r="AF112" s="294"/>
      <c r="AG112" s="295"/>
      <c r="AH112" s="296"/>
      <c r="AI112" s="296"/>
      <c r="AJ112" s="296"/>
      <c r="AK112" s="296"/>
      <c r="AL112" s="296"/>
      <c r="AM112" s="296"/>
      <c r="AN112" s="296"/>
      <c r="AP112" s="294"/>
      <c r="AQ112" s="295"/>
      <c r="AR112" s="296"/>
      <c r="AS112" s="296"/>
      <c r="AT112" s="296"/>
      <c r="AU112" s="296"/>
      <c r="AV112" s="296"/>
      <c r="AW112" s="296"/>
      <c r="AX112" s="296"/>
      <c r="BA112" s="294"/>
      <c r="BB112" s="295"/>
      <c r="BC112" s="296"/>
      <c r="BD112" s="296"/>
      <c r="BE112" s="296"/>
      <c r="BF112" s="296"/>
      <c r="BG112" s="296"/>
      <c r="BH112" s="296"/>
      <c r="BI112" s="296"/>
      <c r="BL112" s="294"/>
      <c r="BM112" s="295"/>
      <c r="BN112" s="296"/>
      <c r="BO112" s="296"/>
      <c r="BP112" s="296"/>
      <c r="BQ112" s="296"/>
      <c r="BR112" s="296"/>
      <c r="BS112" s="296"/>
      <c r="BT112" s="296"/>
      <c r="BW112" s="294"/>
      <c r="BX112" s="295"/>
      <c r="BY112" s="296"/>
      <c r="BZ112" s="296"/>
      <c r="CA112" s="296"/>
      <c r="CB112" s="296"/>
      <c r="CC112" s="296"/>
      <c r="CD112" s="296"/>
      <c r="CE112" s="296"/>
      <c r="CH112" s="294"/>
      <c r="CI112" s="295"/>
      <c r="CJ112" s="296"/>
      <c r="CK112" s="296"/>
      <c r="CL112" s="296"/>
      <c r="CM112" s="296"/>
      <c r="CN112" s="296"/>
      <c r="CO112" s="296"/>
      <c r="CP112" s="296"/>
      <c r="CS112" s="294"/>
      <c r="CT112" s="295"/>
      <c r="CU112" s="296"/>
      <c r="CV112" s="296"/>
      <c r="CW112" s="296"/>
      <c r="CX112" s="296"/>
      <c r="CY112" s="296"/>
      <c r="CZ112" s="296"/>
      <c r="DA112" s="296"/>
      <c r="DD112" s="294"/>
      <c r="DE112" s="295"/>
      <c r="DF112" s="296"/>
      <c r="DG112" s="296"/>
      <c r="DH112" s="296"/>
      <c r="DI112" s="296"/>
      <c r="DJ112" s="296"/>
      <c r="DK112" s="296"/>
      <c r="DL112" s="296"/>
      <c r="DO112" s="294"/>
      <c r="DP112" s="295"/>
      <c r="DQ112" s="296"/>
      <c r="DR112" s="296"/>
      <c r="DS112" s="296"/>
      <c r="DT112" s="296"/>
      <c r="DU112" s="296"/>
      <c r="DV112" s="296"/>
      <c r="DW112" s="296"/>
    </row>
    <row r="113" spans="2:127">
      <c r="B113" s="294"/>
      <c r="C113" s="295"/>
      <c r="D113" s="296"/>
      <c r="E113" s="296"/>
      <c r="F113" s="296"/>
      <c r="G113" s="296"/>
      <c r="H113" s="296"/>
      <c r="I113" s="296"/>
      <c r="J113" s="296"/>
      <c r="L113" s="294"/>
      <c r="M113" s="295"/>
      <c r="N113" s="296"/>
      <c r="O113" s="296"/>
      <c r="P113" s="296"/>
      <c r="Q113" s="296"/>
      <c r="R113" s="296"/>
      <c r="S113" s="296"/>
      <c r="T113" s="296"/>
      <c r="V113" s="294"/>
      <c r="W113" s="295"/>
      <c r="X113" s="296"/>
      <c r="Y113" s="296"/>
      <c r="Z113" s="296"/>
      <c r="AA113" s="296"/>
      <c r="AB113" s="296"/>
      <c r="AC113" s="296"/>
      <c r="AD113" s="296"/>
      <c r="AF113" s="294"/>
      <c r="AG113" s="295"/>
      <c r="AH113" s="296"/>
      <c r="AI113" s="296"/>
      <c r="AJ113" s="296"/>
      <c r="AK113" s="296"/>
      <c r="AL113" s="296"/>
      <c r="AM113" s="296"/>
      <c r="AN113" s="296"/>
      <c r="AP113" s="294"/>
      <c r="AQ113" s="295"/>
      <c r="AR113" s="296"/>
      <c r="AS113" s="296"/>
      <c r="AT113" s="296"/>
      <c r="AU113" s="296"/>
      <c r="AV113" s="296"/>
      <c r="AW113" s="296"/>
      <c r="AX113" s="296"/>
      <c r="BA113" s="294"/>
      <c r="BB113" s="295"/>
      <c r="BC113" s="296"/>
      <c r="BD113" s="296"/>
      <c r="BE113" s="296"/>
      <c r="BF113" s="296"/>
      <c r="BG113" s="296"/>
      <c r="BH113" s="296"/>
      <c r="BI113" s="296"/>
      <c r="BL113" s="294"/>
      <c r="BM113" s="295"/>
      <c r="BN113" s="296"/>
      <c r="BO113" s="296"/>
      <c r="BP113" s="296"/>
      <c r="BQ113" s="296"/>
      <c r="BR113" s="296"/>
      <c r="BS113" s="296"/>
      <c r="BT113" s="296"/>
      <c r="BW113" s="294"/>
      <c r="BX113" s="295"/>
      <c r="BY113" s="296"/>
      <c r="BZ113" s="296"/>
      <c r="CA113" s="296"/>
      <c r="CB113" s="296"/>
      <c r="CC113" s="296"/>
      <c r="CD113" s="296"/>
      <c r="CE113" s="296"/>
      <c r="CH113" s="294"/>
      <c r="CI113" s="295"/>
      <c r="CJ113" s="296"/>
      <c r="CK113" s="296"/>
      <c r="CL113" s="296"/>
      <c r="CM113" s="296"/>
      <c r="CN113" s="296"/>
      <c r="CO113" s="296"/>
      <c r="CP113" s="296"/>
      <c r="CS113" s="294"/>
      <c r="CT113" s="295"/>
      <c r="CU113" s="296"/>
      <c r="CV113" s="296"/>
      <c r="CW113" s="296"/>
      <c r="CX113" s="296"/>
      <c r="CY113" s="296"/>
      <c r="CZ113" s="296"/>
      <c r="DA113" s="296"/>
      <c r="DD113" s="294"/>
      <c r="DE113" s="295"/>
      <c r="DF113" s="296"/>
      <c r="DG113" s="296"/>
      <c r="DH113" s="296"/>
      <c r="DI113" s="296"/>
      <c r="DJ113" s="296"/>
      <c r="DK113" s="296"/>
      <c r="DL113" s="296"/>
      <c r="DO113" s="294"/>
      <c r="DP113" s="295"/>
      <c r="DQ113" s="296"/>
      <c r="DR113" s="296"/>
      <c r="DS113" s="296"/>
      <c r="DT113" s="296"/>
      <c r="DU113" s="296"/>
      <c r="DV113" s="296"/>
      <c r="DW113" s="296"/>
    </row>
    <row r="114" spans="2:127">
      <c r="B114" s="298" t="s">
        <v>596</v>
      </c>
      <c r="C114" s="299"/>
      <c r="D114" s="300" t="s">
        <v>175</v>
      </c>
      <c r="E114" s="300" t="s">
        <v>176</v>
      </c>
      <c r="F114" s="300" t="s">
        <v>177</v>
      </c>
      <c r="G114" s="300" t="s">
        <v>178</v>
      </c>
      <c r="H114" s="300" t="s">
        <v>179</v>
      </c>
      <c r="I114" s="300" t="s">
        <v>180</v>
      </c>
      <c r="J114" s="300"/>
      <c r="L114" s="298" t="s">
        <v>596</v>
      </c>
      <c r="M114" s="299"/>
      <c r="N114" s="300" t="s">
        <v>175</v>
      </c>
      <c r="O114" s="300" t="s">
        <v>176</v>
      </c>
      <c r="P114" s="300" t="s">
        <v>177</v>
      </c>
      <c r="Q114" s="300" t="s">
        <v>178</v>
      </c>
      <c r="R114" s="300" t="s">
        <v>179</v>
      </c>
      <c r="S114" s="300" t="s">
        <v>180</v>
      </c>
      <c r="T114" s="300"/>
      <c r="V114" s="298" t="s">
        <v>596</v>
      </c>
      <c r="W114" s="299"/>
      <c r="X114" s="300" t="s">
        <v>175</v>
      </c>
      <c r="Y114" s="300" t="s">
        <v>176</v>
      </c>
      <c r="Z114" s="300" t="s">
        <v>177</v>
      </c>
      <c r="AA114" s="300" t="s">
        <v>178</v>
      </c>
      <c r="AB114" s="300" t="s">
        <v>179</v>
      </c>
      <c r="AC114" s="300" t="s">
        <v>180</v>
      </c>
      <c r="AD114" s="300"/>
      <c r="AF114" s="298" t="s">
        <v>596</v>
      </c>
      <c r="AG114" s="299"/>
      <c r="AH114" s="300" t="s">
        <v>175</v>
      </c>
      <c r="AI114" s="300" t="s">
        <v>176</v>
      </c>
      <c r="AJ114" s="300" t="s">
        <v>177</v>
      </c>
      <c r="AK114" s="300" t="s">
        <v>178</v>
      </c>
      <c r="AL114" s="300" t="s">
        <v>179</v>
      </c>
      <c r="AM114" s="300" t="s">
        <v>180</v>
      </c>
      <c r="AN114" s="300"/>
      <c r="AP114" s="298" t="s">
        <v>596</v>
      </c>
      <c r="AQ114" s="299"/>
      <c r="AR114" s="300" t="s">
        <v>175</v>
      </c>
      <c r="AS114" s="300" t="s">
        <v>176</v>
      </c>
      <c r="AT114" s="300" t="s">
        <v>177</v>
      </c>
      <c r="AU114" s="300" t="s">
        <v>178</v>
      </c>
      <c r="AV114" s="300" t="s">
        <v>179</v>
      </c>
      <c r="AW114" s="300" t="s">
        <v>180</v>
      </c>
      <c r="AX114" s="300"/>
      <c r="BA114" s="298" t="s">
        <v>596</v>
      </c>
      <c r="BB114" s="299"/>
      <c r="BC114" s="300" t="s">
        <v>175</v>
      </c>
      <c r="BD114" s="300" t="s">
        <v>176</v>
      </c>
      <c r="BE114" s="300" t="s">
        <v>177</v>
      </c>
      <c r="BF114" s="300" t="s">
        <v>178</v>
      </c>
      <c r="BG114" s="300" t="s">
        <v>179</v>
      </c>
      <c r="BH114" s="300" t="s">
        <v>180</v>
      </c>
      <c r="BI114" s="300"/>
      <c r="BL114" s="298" t="s">
        <v>596</v>
      </c>
      <c r="BM114" s="299"/>
      <c r="BN114" s="300" t="s">
        <v>175</v>
      </c>
      <c r="BO114" s="300" t="s">
        <v>176</v>
      </c>
      <c r="BP114" s="300" t="s">
        <v>177</v>
      </c>
      <c r="BQ114" s="300" t="s">
        <v>178</v>
      </c>
      <c r="BR114" s="300" t="s">
        <v>179</v>
      </c>
      <c r="BS114" s="300" t="s">
        <v>180</v>
      </c>
      <c r="BT114" s="300"/>
      <c r="BW114" s="298" t="s">
        <v>596</v>
      </c>
      <c r="BX114" s="299"/>
      <c r="BY114" s="300" t="s">
        <v>175</v>
      </c>
      <c r="BZ114" s="300" t="s">
        <v>176</v>
      </c>
      <c r="CA114" s="300" t="s">
        <v>177</v>
      </c>
      <c r="CB114" s="300" t="s">
        <v>178</v>
      </c>
      <c r="CC114" s="300" t="s">
        <v>179</v>
      </c>
      <c r="CD114" s="300" t="s">
        <v>180</v>
      </c>
      <c r="CE114" s="300"/>
      <c r="CH114" s="298" t="s">
        <v>596</v>
      </c>
      <c r="CI114" s="299"/>
      <c r="CJ114" s="300" t="s">
        <v>175</v>
      </c>
      <c r="CK114" s="300" t="s">
        <v>176</v>
      </c>
      <c r="CL114" s="300" t="s">
        <v>177</v>
      </c>
      <c r="CM114" s="300" t="s">
        <v>178</v>
      </c>
      <c r="CN114" s="300" t="s">
        <v>179</v>
      </c>
      <c r="CO114" s="300" t="s">
        <v>180</v>
      </c>
      <c r="CP114" s="300"/>
      <c r="CS114" s="298" t="s">
        <v>596</v>
      </c>
      <c r="CT114" s="299"/>
      <c r="CU114" s="300" t="s">
        <v>175</v>
      </c>
      <c r="CV114" s="300" t="s">
        <v>176</v>
      </c>
      <c r="CW114" s="300" t="s">
        <v>177</v>
      </c>
      <c r="CX114" s="300" t="s">
        <v>178</v>
      </c>
      <c r="CY114" s="300" t="s">
        <v>179</v>
      </c>
      <c r="CZ114" s="300" t="s">
        <v>180</v>
      </c>
      <c r="DA114" s="300"/>
      <c r="DD114" s="298" t="s">
        <v>596</v>
      </c>
      <c r="DE114" s="299"/>
      <c r="DF114" s="300" t="s">
        <v>175</v>
      </c>
      <c r="DG114" s="300" t="s">
        <v>176</v>
      </c>
      <c r="DH114" s="300" t="s">
        <v>177</v>
      </c>
      <c r="DI114" s="300" t="s">
        <v>178</v>
      </c>
      <c r="DJ114" s="300" t="s">
        <v>179</v>
      </c>
      <c r="DK114" s="300" t="s">
        <v>180</v>
      </c>
      <c r="DL114" s="300"/>
      <c r="DO114" s="298" t="s">
        <v>596</v>
      </c>
      <c r="DP114" s="299"/>
      <c r="DQ114" s="300" t="s">
        <v>175</v>
      </c>
      <c r="DR114" s="300" t="s">
        <v>176</v>
      </c>
      <c r="DS114" s="300" t="s">
        <v>177</v>
      </c>
      <c r="DT114" s="300" t="s">
        <v>178</v>
      </c>
      <c r="DU114" s="300" t="s">
        <v>179</v>
      </c>
      <c r="DV114" s="300" t="s">
        <v>180</v>
      </c>
      <c r="DW114" s="300"/>
    </row>
    <row r="115" spans="2:127">
      <c r="B115" s="298">
        <f>SUM(F116:F123)</f>
        <v>169532.285</v>
      </c>
      <c r="C115" s="299" t="s">
        <v>657</v>
      </c>
      <c r="D115" s="300"/>
      <c r="E115" s="300"/>
      <c r="F115" s="300" t="s">
        <v>181</v>
      </c>
      <c r="G115" s="300" t="s">
        <v>119</v>
      </c>
      <c r="H115" s="300" t="s">
        <v>86</v>
      </c>
      <c r="I115" s="300" t="s">
        <v>119</v>
      </c>
      <c r="J115" s="300"/>
      <c r="L115" s="298">
        <f>SUM(P116:P123)</f>
        <v>174006.8</v>
      </c>
      <c r="M115" s="299" t="s">
        <v>657</v>
      </c>
      <c r="N115" s="300"/>
      <c r="O115" s="300"/>
      <c r="P115" s="300" t="s">
        <v>181</v>
      </c>
      <c r="Q115" s="300" t="s">
        <v>119</v>
      </c>
      <c r="R115" s="300" t="s">
        <v>86</v>
      </c>
      <c r="S115" s="300" t="s">
        <v>119</v>
      </c>
      <c r="T115" s="300"/>
      <c r="V115" s="298">
        <f>SUM(Z116:Z123)</f>
        <v>170031.16957</v>
      </c>
      <c r="W115" s="299" t="s">
        <v>657</v>
      </c>
      <c r="X115" s="300"/>
      <c r="Y115" s="300"/>
      <c r="Z115" s="300" t="s">
        <v>181</v>
      </c>
      <c r="AA115" s="300" t="s">
        <v>119</v>
      </c>
      <c r="AB115" s="300" t="s">
        <v>86</v>
      </c>
      <c r="AC115" s="300" t="s">
        <v>119</v>
      </c>
      <c r="AD115" s="300"/>
      <c r="AF115" s="298">
        <f>SUM(AJ116:AJ123)</f>
        <v>272908.79499999998</v>
      </c>
      <c r="AG115" s="299" t="s">
        <v>657</v>
      </c>
      <c r="AH115" s="300"/>
      <c r="AI115" s="300"/>
      <c r="AJ115" s="300" t="s">
        <v>181</v>
      </c>
      <c r="AK115" s="300" t="s">
        <v>119</v>
      </c>
      <c r="AL115" s="300" t="s">
        <v>86</v>
      </c>
      <c r="AM115" s="300" t="s">
        <v>119</v>
      </c>
      <c r="AN115" s="300"/>
      <c r="AP115" s="298">
        <f>SUM(AT116:AT123)</f>
        <v>237440.92099999997</v>
      </c>
      <c r="AQ115" s="299" t="s">
        <v>657</v>
      </c>
      <c r="AR115" s="300"/>
      <c r="AS115" s="300"/>
      <c r="AT115" s="300" t="s">
        <v>181</v>
      </c>
      <c r="AU115" s="300" t="s">
        <v>119</v>
      </c>
      <c r="AV115" s="300" t="s">
        <v>86</v>
      </c>
      <c r="AW115" s="300" t="s">
        <v>119</v>
      </c>
      <c r="AX115" s="300"/>
      <c r="BA115" s="298">
        <f>SUM(BE116:BE123)</f>
        <v>269747.86200000002</v>
      </c>
      <c r="BB115" s="299" t="s">
        <v>657</v>
      </c>
      <c r="BC115" s="300"/>
      <c r="BD115" s="300"/>
      <c r="BE115" s="300" t="s">
        <v>181</v>
      </c>
      <c r="BF115" s="300" t="s">
        <v>119</v>
      </c>
      <c r="BG115" s="300" t="s">
        <v>86</v>
      </c>
      <c r="BH115" s="300" t="s">
        <v>119</v>
      </c>
      <c r="BI115" s="300"/>
      <c r="BL115" s="298">
        <f>SUM(BP116:BP123)</f>
        <v>296150.17300000001</v>
      </c>
      <c r="BM115" s="299" t="s">
        <v>657</v>
      </c>
      <c r="BN115" s="300"/>
      <c r="BO115" s="300"/>
      <c r="BP115" s="300" t="s">
        <v>181</v>
      </c>
      <c r="BQ115" s="300" t="s">
        <v>119</v>
      </c>
      <c r="BR115" s="300" t="s">
        <v>86</v>
      </c>
      <c r="BS115" s="300" t="s">
        <v>119</v>
      </c>
      <c r="BT115" s="300"/>
      <c r="BW115" s="298">
        <f>SUM(CA116:CA123)</f>
        <v>456542.374068</v>
      </c>
      <c r="BX115" s="299" t="s">
        <v>657</v>
      </c>
      <c r="BY115" s="300"/>
      <c r="BZ115" s="300"/>
      <c r="CA115" s="300" t="s">
        <v>181</v>
      </c>
      <c r="CB115" s="300" t="s">
        <v>119</v>
      </c>
      <c r="CC115" s="300" t="s">
        <v>86</v>
      </c>
      <c r="CD115" s="300" t="s">
        <v>119</v>
      </c>
      <c r="CE115" s="300"/>
      <c r="CH115" s="298">
        <f>SUM(CL116:CL123)</f>
        <v>519187.17711099994</v>
      </c>
      <c r="CI115" s="299" t="s">
        <v>657</v>
      </c>
      <c r="CJ115" s="300"/>
      <c r="CK115" s="300"/>
      <c r="CL115" s="300" t="s">
        <v>181</v>
      </c>
      <c r="CM115" s="300" t="s">
        <v>119</v>
      </c>
      <c r="CN115" s="300" t="s">
        <v>86</v>
      </c>
      <c r="CO115" s="300" t="s">
        <v>119</v>
      </c>
      <c r="CP115" s="300"/>
      <c r="CS115" s="298">
        <f>SUM(CW116:CW123)</f>
        <v>582770.60000000009</v>
      </c>
      <c r="CT115" s="299" t="s">
        <v>657</v>
      </c>
      <c r="CU115" s="300"/>
      <c r="CV115" s="300"/>
      <c r="CW115" s="300" t="s">
        <v>181</v>
      </c>
      <c r="CX115" s="300" t="s">
        <v>119</v>
      </c>
      <c r="CY115" s="300" t="s">
        <v>86</v>
      </c>
      <c r="CZ115" s="300" t="s">
        <v>119</v>
      </c>
      <c r="DA115" s="300"/>
      <c r="DD115" s="298">
        <f>SUM(DH116:DH123)</f>
        <v>701690.6</v>
      </c>
      <c r="DE115" s="299" t="s">
        <v>657</v>
      </c>
      <c r="DF115" s="300"/>
      <c r="DG115" s="300"/>
      <c r="DH115" s="300" t="s">
        <v>181</v>
      </c>
      <c r="DI115" s="300" t="s">
        <v>119</v>
      </c>
      <c r="DJ115" s="300" t="s">
        <v>86</v>
      </c>
      <c r="DK115" s="300" t="s">
        <v>119</v>
      </c>
      <c r="DL115" s="300"/>
      <c r="DO115" s="298">
        <f>SUM(DS116:DS123)</f>
        <v>608541.69999999995</v>
      </c>
      <c r="DP115" s="299" t="s">
        <v>657</v>
      </c>
      <c r="DQ115" s="300"/>
      <c r="DR115" s="300"/>
      <c r="DS115" s="300" t="s">
        <v>181</v>
      </c>
      <c r="DT115" s="300" t="s">
        <v>119</v>
      </c>
      <c r="DU115" s="300" t="s">
        <v>86</v>
      </c>
      <c r="DV115" s="300" t="s">
        <v>119</v>
      </c>
      <c r="DW115" s="300"/>
    </row>
    <row r="116" spans="2:127">
      <c r="B116" s="298"/>
      <c r="C116" s="299"/>
      <c r="D116" s="300" t="s">
        <v>125</v>
      </c>
      <c r="E116" s="300" t="s">
        <v>790</v>
      </c>
      <c r="F116" s="301">
        <v>19701.5</v>
      </c>
      <c r="G116" s="301">
        <v>52889900</v>
      </c>
      <c r="H116" s="300">
        <v>631.23599999999999</v>
      </c>
      <c r="I116" s="300">
        <v>3964.02</v>
      </c>
      <c r="J116" s="300"/>
      <c r="L116" s="298"/>
      <c r="M116" s="299"/>
      <c r="N116" s="300" t="s">
        <v>125</v>
      </c>
      <c r="O116" s="300" t="s">
        <v>790</v>
      </c>
      <c r="P116" s="301">
        <v>22838.6</v>
      </c>
      <c r="Q116" s="301">
        <v>61311700</v>
      </c>
      <c r="R116" s="300">
        <v>731.74900000000002</v>
      </c>
      <c r="S116" s="300">
        <v>4595.21</v>
      </c>
      <c r="T116" s="300"/>
      <c r="V116" s="298"/>
      <c r="W116" s="299"/>
      <c r="X116" s="300" t="s">
        <v>125</v>
      </c>
      <c r="Y116" s="300" t="s">
        <v>790</v>
      </c>
      <c r="Z116" s="301">
        <v>28362.400000000001</v>
      </c>
      <c r="AA116" s="301">
        <v>76140600</v>
      </c>
      <c r="AB116" s="300">
        <v>908.73</v>
      </c>
      <c r="AC116" s="300">
        <v>5706.62</v>
      </c>
      <c r="AD116" s="300"/>
      <c r="AF116" s="298"/>
      <c r="AG116" s="299"/>
      <c r="AH116" s="300" t="s">
        <v>125</v>
      </c>
      <c r="AI116" s="300" t="s">
        <v>790</v>
      </c>
      <c r="AJ116" s="301">
        <v>22172.400000000001</v>
      </c>
      <c r="AK116" s="301">
        <v>59523100</v>
      </c>
      <c r="AL116" s="300">
        <v>710.40300000000002</v>
      </c>
      <c r="AM116" s="300">
        <v>4461.16</v>
      </c>
      <c r="AN116" s="300"/>
      <c r="AP116" s="298"/>
      <c r="AQ116" s="299"/>
      <c r="AR116" s="300" t="s">
        <v>125</v>
      </c>
      <c r="AS116" s="300" t="s">
        <v>790</v>
      </c>
      <c r="AT116" s="301">
        <v>22190.3</v>
      </c>
      <c r="AU116" s="301">
        <v>59571300</v>
      </c>
      <c r="AV116" s="300">
        <v>710.97799999999995</v>
      </c>
      <c r="AW116" s="300">
        <v>4464.78</v>
      </c>
      <c r="AX116" s="300"/>
      <c r="BA116" s="298"/>
      <c r="BB116" s="299"/>
      <c r="BC116" s="300" t="s">
        <v>125</v>
      </c>
      <c r="BD116" s="300" t="s">
        <v>790</v>
      </c>
      <c r="BE116" s="301">
        <v>25712.9</v>
      </c>
      <c r="BF116" s="301">
        <v>69027800</v>
      </c>
      <c r="BG116" s="300">
        <v>823.84</v>
      </c>
      <c r="BH116" s="300">
        <v>5173.5200000000004</v>
      </c>
      <c r="BI116" s="300"/>
      <c r="BL116" s="298"/>
      <c r="BM116" s="299"/>
      <c r="BN116" s="300" t="s">
        <v>125</v>
      </c>
      <c r="BO116" s="300" t="s">
        <v>790</v>
      </c>
      <c r="BP116" s="301">
        <v>28975.9</v>
      </c>
      <c r="BQ116" s="301">
        <v>77787500</v>
      </c>
      <c r="BR116" s="300">
        <v>928.38699999999994</v>
      </c>
      <c r="BS116" s="300">
        <v>5830.05</v>
      </c>
      <c r="BT116" s="300"/>
      <c r="BW116" s="298"/>
      <c r="BX116" s="299"/>
      <c r="BY116" s="300" t="s">
        <v>125</v>
      </c>
      <c r="BZ116" s="300" t="s">
        <v>790</v>
      </c>
      <c r="CA116" s="301">
        <v>40028.9</v>
      </c>
      <c r="CB116" s="301">
        <v>107460000</v>
      </c>
      <c r="CC116" s="300">
        <v>1282.53</v>
      </c>
      <c r="CD116" s="300">
        <v>8053.96</v>
      </c>
      <c r="CE116" s="300"/>
      <c r="CH116" s="298"/>
      <c r="CI116" s="299"/>
      <c r="CJ116" s="300" t="s">
        <v>125</v>
      </c>
      <c r="CK116" s="300" t="s">
        <v>790</v>
      </c>
      <c r="CL116" s="301">
        <v>45877.5</v>
      </c>
      <c r="CM116" s="301">
        <v>123161000</v>
      </c>
      <c r="CN116" s="300">
        <v>1469.92</v>
      </c>
      <c r="CO116" s="300">
        <v>9230.73</v>
      </c>
      <c r="CP116" s="300"/>
      <c r="CS116" s="298"/>
      <c r="CT116" s="299"/>
      <c r="CU116" s="300" t="s">
        <v>125</v>
      </c>
      <c r="CV116" s="300" t="s">
        <v>790</v>
      </c>
      <c r="CW116" s="301">
        <v>53123.3</v>
      </c>
      <c r="CX116" s="301">
        <v>142613000</v>
      </c>
      <c r="CY116" s="300">
        <v>1702.07</v>
      </c>
      <c r="CZ116" s="300">
        <v>10688.6</v>
      </c>
      <c r="DA116" s="300"/>
      <c r="DD116" s="298"/>
      <c r="DE116" s="299"/>
      <c r="DF116" s="300" t="s">
        <v>125</v>
      </c>
      <c r="DG116" s="300" t="s">
        <v>790</v>
      </c>
      <c r="DH116" s="301">
        <v>61776.6</v>
      </c>
      <c r="DI116" s="301">
        <v>165843000</v>
      </c>
      <c r="DJ116" s="300">
        <v>1979.32</v>
      </c>
      <c r="DK116" s="300">
        <v>12429.7</v>
      </c>
      <c r="DL116" s="300"/>
      <c r="DO116" s="298"/>
      <c r="DP116" s="299"/>
      <c r="DQ116" s="300" t="s">
        <v>125</v>
      </c>
      <c r="DR116" s="300" t="s">
        <v>790</v>
      </c>
      <c r="DS116" s="301">
        <v>60044.7</v>
      </c>
      <c r="DT116" s="301">
        <v>161194000</v>
      </c>
      <c r="DU116" s="300">
        <v>1923.83</v>
      </c>
      <c r="DV116" s="300">
        <v>12081.2</v>
      </c>
      <c r="DW116" s="300"/>
    </row>
    <row r="117" spans="2:127">
      <c r="B117" s="298"/>
      <c r="C117" s="299"/>
      <c r="D117" s="300" t="s">
        <v>79</v>
      </c>
      <c r="E117" s="300" t="s">
        <v>790</v>
      </c>
      <c r="F117" s="301">
        <v>62776.1</v>
      </c>
      <c r="G117" s="301">
        <v>168527000</v>
      </c>
      <c r="H117" s="301">
        <v>2011.35</v>
      </c>
      <c r="I117" s="301">
        <v>12630.8</v>
      </c>
      <c r="J117" s="300"/>
      <c r="L117" s="298"/>
      <c r="M117" s="299"/>
      <c r="N117" s="300" t="s">
        <v>79</v>
      </c>
      <c r="O117" s="300" t="s">
        <v>790</v>
      </c>
      <c r="P117" s="301">
        <v>59537.9</v>
      </c>
      <c r="Q117" s="301">
        <v>159833000</v>
      </c>
      <c r="R117" s="301">
        <v>1907.59</v>
      </c>
      <c r="S117" s="301">
        <v>11979.3</v>
      </c>
      <c r="T117" s="300"/>
      <c r="V117" s="298"/>
      <c r="W117" s="299"/>
      <c r="X117" s="300" t="s">
        <v>79</v>
      </c>
      <c r="Y117" s="300" t="s">
        <v>790</v>
      </c>
      <c r="Z117" s="301">
        <v>81160.5</v>
      </c>
      <c r="AA117" s="301">
        <v>217881000</v>
      </c>
      <c r="AB117" s="301">
        <v>2600.38</v>
      </c>
      <c r="AC117" s="301">
        <v>16329.8</v>
      </c>
      <c r="AD117" s="300"/>
      <c r="AF117" s="298"/>
      <c r="AG117" s="299"/>
      <c r="AH117" s="300" t="s">
        <v>79</v>
      </c>
      <c r="AI117" s="300" t="s">
        <v>790</v>
      </c>
      <c r="AJ117" s="301">
        <v>90390.8</v>
      </c>
      <c r="AK117" s="301">
        <v>242660000</v>
      </c>
      <c r="AL117" s="301">
        <v>2896.12</v>
      </c>
      <c r="AM117" s="301">
        <v>18187</v>
      </c>
      <c r="AN117" s="300"/>
      <c r="AP117" s="298"/>
      <c r="AQ117" s="299"/>
      <c r="AR117" s="300" t="s">
        <v>79</v>
      </c>
      <c r="AS117" s="300" t="s">
        <v>790</v>
      </c>
      <c r="AT117" s="301">
        <v>87218.2</v>
      </c>
      <c r="AU117" s="301">
        <v>234143000</v>
      </c>
      <c r="AV117" s="301">
        <v>2794.47</v>
      </c>
      <c r="AW117" s="301">
        <v>17548.599999999999</v>
      </c>
      <c r="AX117" s="300"/>
      <c r="BA117" s="298"/>
      <c r="BB117" s="299"/>
      <c r="BC117" s="300" t="s">
        <v>79</v>
      </c>
      <c r="BD117" s="300" t="s">
        <v>790</v>
      </c>
      <c r="BE117" s="301">
        <v>100664</v>
      </c>
      <c r="BF117" s="301">
        <v>270239000</v>
      </c>
      <c r="BG117" s="301">
        <v>3225.28</v>
      </c>
      <c r="BH117" s="301">
        <v>20254</v>
      </c>
      <c r="BI117" s="300"/>
      <c r="BL117" s="298"/>
      <c r="BM117" s="299"/>
      <c r="BN117" s="300" t="s">
        <v>79</v>
      </c>
      <c r="BO117" s="300" t="s">
        <v>790</v>
      </c>
      <c r="BP117" s="301">
        <v>113207</v>
      </c>
      <c r="BQ117" s="301">
        <v>303913000</v>
      </c>
      <c r="BR117" s="301">
        <v>3627.17</v>
      </c>
      <c r="BS117" s="301">
        <v>22777.8</v>
      </c>
      <c r="BT117" s="300"/>
      <c r="BW117" s="298"/>
      <c r="BX117" s="299"/>
      <c r="BY117" s="300" t="s">
        <v>79</v>
      </c>
      <c r="BZ117" s="300" t="s">
        <v>790</v>
      </c>
      <c r="CA117" s="301">
        <v>156598</v>
      </c>
      <c r="CB117" s="301">
        <v>420398000</v>
      </c>
      <c r="CC117" s="301">
        <v>5017.41</v>
      </c>
      <c r="CD117" s="301">
        <v>31508.2</v>
      </c>
      <c r="CE117" s="300"/>
      <c r="CH117" s="298"/>
      <c r="CI117" s="299"/>
      <c r="CJ117" s="300" t="s">
        <v>79</v>
      </c>
      <c r="CK117" s="300" t="s">
        <v>790</v>
      </c>
      <c r="CL117" s="301">
        <v>179017</v>
      </c>
      <c r="CM117" s="301">
        <v>480584000</v>
      </c>
      <c r="CN117" s="301">
        <v>5735.72</v>
      </c>
      <c r="CO117" s="301">
        <v>36019</v>
      </c>
      <c r="CP117" s="300"/>
      <c r="CS117" s="298"/>
      <c r="CT117" s="299"/>
      <c r="CU117" s="300" t="s">
        <v>79</v>
      </c>
      <c r="CV117" s="300" t="s">
        <v>790</v>
      </c>
      <c r="CW117" s="301">
        <v>208691</v>
      </c>
      <c r="CX117" s="301">
        <v>560245000</v>
      </c>
      <c r="CY117" s="301">
        <v>6686.47</v>
      </c>
      <c r="CZ117" s="301">
        <v>41989.5</v>
      </c>
      <c r="DA117" s="300"/>
      <c r="DD117" s="298"/>
      <c r="DE117" s="299"/>
      <c r="DF117" s="300" t="s">
        <v>79</v>
      </c>
      <c r="DG117" s="300" t="s">
        <v>790</v>
      </c>
      <c r="DH117" s="301">
        <v>241625</v>
      </c>
      <c r="DI117" s="301">
        <v>648658000</v>
      </c>
      <c r="DJ117" s="301">
        <v>7741.68</v>
      </c>
      <c r="DK117" s="301">
        <v>48615.9</v>
      </c>
      <c r="DL117" s="300"/>
      <c r="DO117" s="298"/>
      <c r="DP117" s="299"/>
      <c r="DQ117" s="300" t="s">
        <v>79</v>
      </c>
      <c r="DR117" s="300" t="s">
        <v>790</v>
      </c>
      <c r="DS117" s="301">
        <v>240726</v>
      </c>
      <c r="DT117" s="301">
        <v>646245000</v>
      </c>
      <c r="DU117" s="301">
        <v>7712.88</v>
      </c>
      <c r="DV117" s="301">
        <v>48435.1</v>
      </c>
      <c r="DW117" s="300"/>
    </row>
    <row r="118" spans="2:127">
      <c r="B118" s="298"/>
      <c r="C118" s="299"/>
      <c r="D118" s="300" t="s">
        <v>80</v>
      </c>
      <c r="E118" s="300" t="s">
        <v>790</v>
      </c>
      <c r="F118" s="301">
        <v>48031.6</v>
      </c>
      <c r="G118" s="301">
        <v>128944000</v>
      </c>
      <c r="H118" s="300">
        <v>1538.93</v>
      </c>
      <c r="I118" s="300">
        <v>9664.1299999999992</v>
      </c>
      <c r="J118" s="300"/>
      <c r="L118" s="298"/>
      <c r="M118" s="299"/>
      <c r="N118" s="300" t="s">
        <v>80</v>
      </c>
      <c r="O118" s="300" t="s">
        <v>790</v>
      </c>
      <c r="P118" s="301">
        <v>34337.4</v>
      </c>
      <c r="Q118" s="301">
        <v>92180900</v>
      </c>
      <c r="R118" s="300">
        <v>1100.17</v>
      </c>
      <c r="S118" s="300">
        <v>6908.81</v>
      </c>
      <c r="T118" s="300"/>
      <c r="V118" s="298"/>
      <c r="W118" s="299"/>
      <c r="X118" s="300" t="s">
        <v>80</v>
      </c>
      <c r="Y118" s="300" t="s">
        <v>790</v>
      </c>
      <c r="Z118" s="301">
        <v>10858</v>
      </c>
      <c r="AA118" s="301">
        <v>29148900</v>
      </c>
      <c r="AB118" s="300">
        <v>347.89</v>
      </c>
      <c r="AC118" s="300">
        <v>2184.67</v>
      </c>
      <c r="AD118" s="300"/>
      <c r="AF118" s="298"/>
      <c r="AG118" s="299"/>
      <c r="AH118" s="300" t="s">
        <v>80</v>
      </c>
      <c r="AI118" s="300" t="s">
        <v>790</v>
      </c>
      <c r="AJ118" s="301">
        <v>92145.2</v>
      </c>
      <c r="AK118" s="301">
        <v>247370000</v>
      </c>
      <c r="AL118" s="300">
        <v>2952.33</v>
      </c>
      <c r="AM118" s="300">
        <v>18540</v>
      </c>
      <c r="AN118" s="300"/>
      <c r="AP118" s="298"/>
      <c r="AQ118" s="299"/>
      <c r="AR118" s="300" t="s">
        <v>80</v>
      </c>
      <c r="AS118" s="300" t="s">
        <v>790</v>
      </c>
      <c r="AT118" s="301">
        <v>70021</v>
      </c>
      <c r="AU118" s="301">
        <v>187976000</v>
      </c>
      <c r="AV118" s="300">
        <v>2243.4699999999998</v>
      </c>
      <c r="AW118" s="300">
        <v>14088.5</v>
      </c>
      <c r="AX118" s="300"/>
      <c r="BA118" s="298"/>
      <c r="BB118" s="299"/>
      <c r="BC118" s="300" t="s">
        <v>80</v>
      </c>
      <c r="BD118" s="300" t="s">
        <v>790</v>
      </c>
      <c r="BE118" s="301">
        <v>80918</v>
      </c>
      <c r="BF118" s="301">
        <v>217229000</v>
      </c>
      <c r="BG118" s="300">
        <v>2592.61</v>
      </c>
      <c r="BH118" s="300">
        <v>16281</v>
      </c>
      <c r="BI118" s="300"/>
      <c r="BL118" s="298"/>
      <c r="BM118" s="299"/>
      <c r="BN118" s="300" t="s">
        <v>80</v>
      </c>
      <c r="BO118" s="300" t="s">
        <v>790</v>
      </c>
      <c r="BP118" s="301">
        <v>92004.800000000003</v>
      </c>
      <c r="BQ118" s="301">
        <v>246993000</v>
      </c>
      <c r="BR118" s="300">
        <v>2947.84</v>
      </c>
      <c r="BS118" s="300">
        <v>18511.7</v>
      </c>
      <c r="BT118" s="300"/>
      <c r="BW118" s="298"/>
      <c r="BX118" s="299"/>
      <c r="BY118" s="300" t="s">
        <v>80</v>
      </c>
      <c r="BZ118" s="300" t="s">
        <v>790</v>
      </c>
      <c r="CA118" s="301">
        <v>198810</v>
      </c>
      <c r="CB118" s="301">
        <v>533719000</v>
      </c>
      <c r="CC118" s="300">
        <v>6369.89</v>
      </c>
      <c r="CD118" s="300">
        <v>40001.4</v>
      </c>
      <c r="CE118" s="300"/>
      <c r="CH118" s="298"/>
      <c r="CI118" s="299"/>
      <c r="CJ118" s="300" t="s">
        <v>80</v>
      </c>
      <c r="CK118" s="300" t="s">
        <v>790</v>
      </c>
      <c r="CL118" s="301">
        <v>234875</v>
      </c>
      <c r="CM118" s="301">
        <v>630537000</v>
      </c>
      <c r="CN118" s="300">
        <v>7525.4</v>
      </c>
      <c r="CO118" s="300">
        <v>47257.7</v>
      </c>
      <c r="CP118" s="300"/>
      <c r="CS118" s="298"/>
      <c r="CT118" s="299"/>
      <c r="CU118" s="300" t="s">
        <v>80</v>
      </c>
      <c r="CV118" s="300" t="s">
        <v>790</v>
      </c>
      <c r="CW118" s="301">
        <v>262176</v>
      </c>
      <c r="CX118" s="301">
        <v>703828000</v>
      </c>
      <c r="CY118" s="300">
        <v>8400.11</v>
      </c>
      <c r="CZ118" s="300">
        <v>52750.8</v>
      </c>
      <c r="DA118" s="300"/>
      <c r="DD118" s="298"/>
      <c r="DE118" s="299"/>
      <c r="DF118" s="300" t="s">
        <v>80</v>
      </c>
      <c r="DG118" s="300" t="s">
        <v>790</v>
      </c>
      <c r="DH118" s="301">
        <v>339253</v>
      </c>
      <c r="DI118" s="301">
        <v>910745000</v>
      </c>
      <c r="DJ118" s="300">
        <v>10869.7</v>
      </c>
      <c r="DK118" s="300">
        <v>68258.899999999994</v>
      </c>
      <c r="DL118" s="300"/>
      <c r="DO118" s="298"/>
      <c r="DP118" s="299"/>
      <c r="DQ118" s="300" t="s">
        <v>80</v>
      </c>
      <c r="DR118" s="300" t="s">
        <v>790</v>
      </c>
      <c r="DS118" s="301">
        <v>251380</v>
      </c>
      <c r="DT118" s="301">
        <v>674847000</v>
      </c>
      <c r="DU118" s="300">
        <v>8054.23</v>
      </c>
      <c r="DV118" s="300">
        <v>50578.7</v>
      </c>
      <c r="DW118" s="300"/>
    </row>
    <row r="119" spans="2:127">
      <c r="B119" s="298"/>
      <c r="C119" s="299"/>
      <c r="D119" s="300" t="s">
        <v>154</v>
      </c>
      <c r="E119" s="300" t="s">
        <v>172</v>
      </c>
      <c r="F119" s="300">
        <v>847.36500000000001</v>
      </c>
      <c r="G119" s="301">
        <v>2274800</v>
      </c>
      <c r="H119" s="301">
        <v>27.1496</v>
      </c>
      <c r="I119" s="301">
        <v>170.49299999999999</v>
      </c>
      <c r="J119" s="300"/>
      <c r="L119" s="298"/>
      <c r="M119" s="299"/>
      <c r="N119" s="300" t="s">
        <v>154</v>
      </c>
      <c r="O119" s="300" t="s">
        <v>172</v>
      </c>
      <c r="P119" s="301">
        <v>13736.7</v>
      </c>
      <c r="Q119" s="301">
        <v>36877000</v>
      </c>
      <c r="R119" s="301">
        <v>440.12299999999999</v>
      </c>
      <c r="S119" s="301">
        <v>2763.87</v>
      </c>
      <c r="T119" s="300"/>
      <c r="V119" s="298"/>
      <c r="W119" s="299"/>
      <c r="X119" s="300" t="s">
        <v>154</v>
      </c>
      <c r="Y119" s="300" t="s">
        <v>172</v>
      </c>
      <c r="Z119" s="301">
        <v>4.7695699999999999</v>
      </c>
      <c r="AA119" s="301">
        <v>12804.2</v>
      </c>
      <c r="AB119" s="301">
        <v>0.15281700000000001</v>
      </c>
      <c r="AC119" s="301">
        <v>0.95965599999999995</v>
      </c>
      <c r="AD119" s="300"/>
      <c r="AF119" s="298"/>
      <c r="AG119" s="299"/>
      <c r="AH119" s="300" t="s">
        <v>154</v>
      </c>
      <c r="AI119" s="300" t="s">
        <v>172</v>
      </c>
      <c r="AJ119" s="300">
        <v>155.89500000000001</v>
      </c>
      <c r="AK119" s="301">
        <v>418510</v>
      </c>
      <c r="AL119" s="301">
        <v>4.9948800000000002</v>
      </c>
      <c r="AM119" s="301">
        <v>31.366700000000002</v>
      </c>
      <c r="AN119" s="300"/>
      <c r="AP119" s="298"/>
      <c r="AQ119" s="299"/>
      <c r="AR119" s="300" t="s">
        <v>154</v>
      </c>
      <c r="AS119" s="300" t="s">
        <v>172</v>
      </c>
      <c r="AT119" s="300">
        <v>245.221</v>
      </c>
      <c r="AU119" s="301">
        <v>658312</v>
      </c>
      <c r="AV119" s="301">
        <v>7.8568899999999999</v>
      </c>
      <c r="AW119" s="301">
        <v>49.339399999999998</v>
      </c>
      <c r="AX119" s="300"/>
      <c r="BA119" s="298"/>
      <c r="BB119" s="299"/>
      <c r="BC119" s="300" t="s">
        <v>154</v>
      </c>
      <c r="BD119" s="300" t="s">
        <v>172</v>
      </c>
      <c r="BE119" s="300">
        <v>210.86199999999999</v>
      </c>
      <c r="BF119" s="301">
        <v>566074</v>
      </c>
      <c r="BG119" s="301">
        <v>6.7560399999999996</v>
      </c>
      <c r="BH119" s="301">
        <v>42.426299999999998</v>
      </c>
      <c r="BI119" s="300"/>
      <c r="BL119" s="298"/>
      <c r="BM119" s="299"/>
      <c r="BN119" s="300" t="s">
        <v>154</v>
      </c>
      <c r="BO119" s="300" t="s">
        <v>172</v>
      </c>
      <c r="BP119" s="300">
        <v>131.97300000000001</v>
      </c>
      <c r="BQ119" s="301">
        <v>354290</v>
      </c>
      <c r="BR119" s="301">
        <v>4.2284199999999998</v>
      </c>
      <c r="BS119" s="301">
        <v>26.5535</v>
      </c>
      <c r="BT119" s="300"/>
      <c r="BW119" s="298"/>
      <c r="BX119" s="299"/>
      <c r="BY119" s="300" t="s">
        <v>154</v>
      </c>
      <c r="BZ119" s="300" t="s">
        <v>172</v>
      </c>
      <c r="CA119" s="301">
        <v>0.47406799999999999</v>
      </c>
      <c r="CB119" s="301">
        <v>1272.67</v>
      </c>
      <c r="CC119" s="301">
        <v>1.5189100000000001E-2</v>
      </c>
      <c r="CD119" s="301">
        <v>9.5384300000000005E-2</v>
      </c>
      <c r="CE119" s="300"/>
      <c r="CH119" s="298"/>
      <c r="CI119" s="299"/>
      <c r="CJ119" s="300" t="s">
        <v>154</v>
      </c>
      <c r="CK119" s="300" t="s">
        <v>172</v>
      </c>
      <c r="CL119" s="301">
        <v>0.47711100000000001</v>
      </c>
      <c r="CM119" s="301">
        <v>1280.83</v>
      </c>
      <c r="CN119" s="301">
        <v>1.5286599999999999E-2</v>
      </c>
      <c r="CO119" s="301">
        <v>9.5996499999999998E-2</v>
      </c>
      <c r="CP119" s="300"/>
      <c r="CS119" s="298"/>
      <c r="CT119" s="299"/>
      <c r="CU119" s="300" t="s">
        <v>154</v>
      </c>
      <c r="CV119" s="300" t="s">
        <v>172</v>
      </c>
      <c r="CW119" s="300">
        <v>0</v>
      </c>
      <c r="CX119" s="301">
        <v>0</v>
      </c>
      <c r="CY119" s="300">
        <v>0</v>
      </c>
      <c r="CZ119" s="300"/>
      <c r="DA119" s="300"/>
      <c r="DD119" s="298"/>
      <c r="DE119" s="299"/>
      <c r="DF119" s="300" t="s">
        <v>154</v>
      </c>
      <c r="DG119" s="300" t="s">
        <v>172</v>
      </c>
      <c r="DH119" s="300">
        <v>0</v>
      </c>
      <c r="DI119" s="301">
        <v>0</v>
      </c>
      <c r="DJ119" s="300">
        <v>0</v>
      </c>
      <c r="DK119" s="300"/>
      <c r="DL119" s="300"/>
      <c r="DO119" s="298"/>
      <c r="DP119" s="299"/>
      <c r="DQ119" s="300" t="s">
        <v>154</v>
      </c>
      <c r="DR119" s="300" t="s">
        <v>172</v>
      </c>
      <c r="DS119" s="300">
        <v>0</v>
      </c>
      <c r="DT119" s="301">
        <v>0</v>
      </c>
      <c r="DU119" s="300">
        <v>0</v>
      </c>
      <c r="DV119" s="300"/>
      <c r="DW119" s="300"/>
    </row>
    <row r="120" spans="2:127">
      <c r="B120" s="298"/>
      <c r="C120" s="299"/>
      <c r="D120" s="300" t="s">
        <v>126</v>
      </c>
      <c r="E120" s="300" t="s">
        <v>172</v>
      </c>
      <c r="F120" s="300">
        <v>3633.12</v>
      </c>
      <c r="G120" s="301">
        <v>9753350</v>
      </c>
      <c r="H120" s="301">
        <v>116.405</v>
      </c>
      <c r="I120" s="300">
        <v>730.99800000000005</v>
      </c>
      <c r="J120" s="300"/>
      <c r="L120" s="298"/>
      <c r="M120" s="299"/>
      <c r="N120" s="300" t="s">
        <v>126</v>
      </c>
      <c r="O120" s="300" t="s">
        <v>172</v>
      </c>
      <c r="P120" s="300">
        <v>11144.4</v>
      </c>
      <c r="Q120" s="301">
        <v>29917800</v>
      </c>
      <c r="R120" s="301">
        <v>357.06700000000001</v>
      </c>
      <c r="S120" s="300">
        <v>2242.3000000000002</v>
      </c>
      <c r="T120" s="300"/>
      <c r="V120" s="298"/>
      <c r="W120" s="299"/>
      <c r="X120" s="300" t="s">
        <v>126</v>
      </c>
      <c r="Y120" s="300" t="s">
        <v>172</v>
      </c>
      <c r="Z120" s="300">
        <v>10153.6</v>
      </c>
      <c r="AA120" s="301">
        <v>27258000</v>
      </c>
      <c r="AB120" s="301">
        <v>325.322</v>
      </c>
      <c r="AC120" s="300">
        <v>2042.95</v>
      </c>
      <c r="AD120" s="300"/>
      <c r="AF120" s="298"/>
      <c r="AG120" s="299"/>
      <c r="AH120" s="300" t="s">
        <v>126</v>
      </c>
      <c r="AI120" s="300" t="s">
        <v>172</v>
      </c>
      <c r="AJ120" s="300">
        <v>29857.4</v>
      </c>
      <c r="AK120" s="301">
        <v>80154000</v>
      </c>
      <c r="AL120" s="301">
        <v>956.63</v>
      </c>
      <c r="AM120" s="300">
        <v>6007.42</v>
      </c>
      <c r="AN120" s="300"/>
      <c r="AP120" s="298"/>
      <c r="AQ120" s="299"/>
      <c r="AR120" s="300" t="s">
        <v>126</v>
      </c>
      <c r="AS120" s="300" t="s">
        <v>172</v>
      </c>
      <c r="AT120" s="300">
        <v>23683.4</v>
      </c>
      <c r="AU120" s="301">
        <v>63579700</v>
      </c>
      <c r="AV120" s="301">
        <v>758.81799999999998</v>
      </c>
      <c r="AW120" s="300">
        <v>4765.2</v>
      </c>
      <c r="AX120" s="300"/>
      <c r="BA120" s="298"/>
      <c r="BB120" s="299"/>
      <c r="BC120" s="300" t="s">
        <v>126</v>
      </c>
      <c r="BD120" s="300" t="s">
        <v>172</v>
      </c>
      <c r="BE120" s="300">
        <v>23659.200000000001</v>
      </c>
      <c r="BF120" s="301">
        <v>63514500</v>
      </c>
      <c r="BG120" s="301">
        <v>758.04</v>
      </c>
      <c r="BH120" s="300">
        <v>4760.3100000000004</v>
      </c>
      <c r="BI120" s="300"/>
      <c r="BL120" s="298"/>
      <c r="BM120" s="299"/>
      <c r="BN120" s="300" t="s">
        <v>126</v>
      </c>
      <c r="BO120" s="300" t="s">
        <v>172</v>
      </c>
      <c r="BP120" s="300">
        <v>23137.7</v>
      </c>
      <c r="BQ120" s="301">
        <v>62114600</v>
      </c>
      <c r="BR120" s="301">
        <v>741.33199999999999</v>
      </c>
      <c r="BS120" s="300">
        <v>4655.3900000000003</v>
      </c>
      <c r="BT120" s="300"/>
      <c r="BW120" s="298"/>
      <c r="BX120" s="299"/>
      <c r="BY120" s="300" t="s">
        <v>126</v>
      </c>
      <c r="BZ120" s="300" t="s">
        <v>172</v>
      </c>
      <c r="CA120" s="300">
        <v>23982.6</v>
      </c>
      <c r="CB120" s="301">
        <v>64382900</v>
      </c>
      <c r="CC120" s="301">
        <v>768.404</v>
      </c>
      <c r="CD120" s="300">
        <v>4825.3999999999996</v>
      </c>
      <c r="CE120" s="300"/>
      <c r="CH120" s="298"/>
      <c r="CI120" s="299"/>
      <c r="CJ120" s="300" t="s">
        <v>126</v>
      </c>
      <c r="CK120" s="300" t="s">
        <v>172</v>
      </c>
      <c r="CL120" s="300">
        <v>22917.1</v>
      </c>
      <c r="CM120" s="301">
        <v>61522400</v>
      </c>
      <c r="CN120" s="301">
        <v>734.26400000000001</v>
      </c>
      <c r="CO120" s="300">
        <v>4611</v>
      </c>
      <c r="CP120" s="300"/>
      <c r="CS120" s="298"/>
      <c r="CT120" s="299"/>
      <c r="CU120" s="300" t="s">
        <v>126</v>
      </c>
      <c r="CV120" s="300" t="s">
        <v>172</v>
      </c>
      <c r="CW120" s="300">
        <v>22106</v>
      </c>
      <c r="CX120" s="301">
        <v>59345100</v>
      </c>
      <c r="CY120" s="301">
        <v>708.27800000000002</v>
      </c>
      <c r="CZ120" s="300">
        <v>4447.82</v>
      </c>
      <c r="DA120" s="300"/>
      <c r="DD120" s="298"/>
      <c r="DE120" s="299"/>
      <c r="DF120" s="300" t="s">
        <v>126</v>
      </c>
      <c r="DG120" s="300" t="s">
        <v>172</v>
      </c>
      <c r="DH120" s="300">
        <v>22686.7</v>
      </c>
      <c r="DI120" s="301">
        <v>60903900</v>
      </c>
      <c r="DJ120" s="301">
        <v>726.88199999999995</v>
      </c>
      <c r="DK120" s="300">
        <v>4564.6499999999996</v>
      </c>
      <c r="DL120" s="300"/>
      <c r="DO120" s="298"/>
      <c r="DP120" s="299"/>
      <c r="DQ120" s="300" t="s">
        <v>126</v>
      </c>
      <c r="DR120" s="300" t="s">
        <v>172</v>
      </c>
      <c r="DS120" s="300">
        <v>22461.8</v>
      </c>
      <c r="DT120" s="301">
        <v>60300100</v>
      </c>
      <c r="DU120" s="301">
        <v>719.67600000000004</v>
      </c>
      <c r="DV120" s="300">
        <v>4519.3900000000003</v>
      </c>
      <c r="DW120" s="300"/>
    </row>
    <row r="121" spans="2:127">
      <c r="B121" s="298"/>
      <c r="C121" s="299"/>
      <c r="D121" s="300" t="s">
        <v>156</v>
      </c>
      <c r="E121" s="300" t="s">
        <v>172</v>
      </c>
      <c r="F121" s="300">
        <v>34542.6</v>
      </c>
      <c r="G121" s="301">
        <v>92731700</v>
      </c>
      <c r="H121" s="301">
        <v>1106.74</v>
      </c>
      <c r="I121" s="300">
        <v>6950.1</v>
      </c>
      <c r="J121" s="300"/>
      <c r="L121" s="298"/>
      <c r="M121" s="299"/>
      <c r="N121" s="300" t="s">
        <v>156</v>
      </c>
      <c r="O121" s="300" t="s">
        <v>172</v>
      </c>
      <c r="P121" s="300">
        <v>32411.8</v>
      </c>
      <c r="Q121" s="301">
        <v>87011500</v>
      </c>
      <c r="R121" s="301">
        <v>1038.47</v>
      </c>
      <c r="S121" s="300">
        <v>6521.37</v>
      </c>
      <c r="T121" s="300"/>
      <c r="V121" s="298"/>
      <c r="W121" s="299"/>
      <c r="X121" s="300" t="s">
        <v>156</v>
      </c>
      <c r="Y121" s="300" t="s">
        <v>172</v>
      </c>
      <c r="Z121" s="300">
        <v>39491.9</v>
      </c>
      <c r="AA121" s="301">
        <v>106018000</v>
      </c>
      <c r="AB121" s="301">
        <v>1265.32</v>
      </c>
      <c r="AC121" s="300">
        <v>7945.92</v>
      </c>
      <c r="AD121" s="300"/>
      <c r="AF121" s="298"/>
      <c r="AG121" s="299"/>
      <c r="AH121" s="300" t="s">
        <v>156</v>
      </c>
      <c r="AI121" s="300" t="s">
        <v>172</v>
      </c>
      <c r="AJ121" s="300">
        <v>38187.1</v>
      </c>
      <c r="AK121" s="301">
        <v>102516000</v>
      </c>
      <c r="AL121" s="301">
        <v>1223.52</v>
      </c>
      <c r="AM121" s="300">
        <v>7683.39</v>
      </c>
      <c r="AN121" s="300"/>
      <c r="AP121" s="298"/>
      <c r="AQ121" s="299"/>
      <c r="AR121" s="300" t="s">
        <v>156</v>
      </c>
      <c r="AS121" s="300" t="s">
        <v>172</v>
      </c>
      <c r="AT121" s="300">
        <v>34082.800000000003</v>
      </c>
      <c r="AU121" s="301">
        <v>91497400</v>
      </c>
      <c r="AV121" s="301">
        <v>1092.01</v>
      </c>
      <c r="AW121" s="300">
        <v>6857.58</v>
      </c>
      <c r="AX121" s="300"/>
      <c r="BA121" s="298"/>
      <c r="BB121" s="299"/>
      <c r="BC121" s="300" t="s">
        <v>156</v>
      </c>
      <c r="BD121" s="300" t="s">
        <v>172</v>
      </c>
      <c r="BE121" s="300">
        <v>38582.9</v>
      </c>
      <c r="BF121" s="301">
        <v>103578000</v>
      </c>
      <c r="BG121" s="301">
        <v>1236.2</v>
      </c>
      <c r="BH121" s="300">
        <v>7763.02</v>
      </c>
      <c r="BI121" s="300"/>
      <c r="BL121" s="298"/>
      <c r="BM121" s="299"/>
      <c r="BN121" s="300" t="s">
        <v>156</v>
      </c>
      <c r="BO121" s="300" t="s">
        <v>172</v>
      </c>
      <c r="BP121" s="300">
        <v>38692.800000000003</v>
      </c>
      <c r="BQ121" s="301">
        <v>103873000</v>
      </c>
      <c r="BR121" s="301">
        <v>1239.72</v>
      </c>
      <c r="BS121" s="300">
        <v>7785.13</v>
      </c>
      <c r="BT121" s="300"/>
      <c r="BW121" s="298"/>
      <c r="BX121" s="299"/>
      <c r="BY121" s="300" t="s">
        <v>156</v>
      </c>
      <c r="BZ121" s="300" t="s">
        <v>172</v>
      </c>
      <c r="CA121" s="300">
        <v>37122.400000000001</v>
      </c>
      <c r="CB121" s="301">
        <v>99657500</v>
      </c>
      <c r="CC121" s="301">
        <v>1189.4000000000001</v>
      </c>
      <c r="CD121" s="300">
        <v>7469.17</v>
      </c>
      <c r="CE121" s="300"/>
      <c r="CH121" s="298"/>
      <c r="CI121" s="299"/>
      <c r="CJ121" s="300" t="s">
        <v>156</v>
      </c>
      <c r="CK121" s="300" t="s">
        <v>172</v>
      </c>
      <c r="CL121" s="300">
        <v>36500.1</v>
      </c>
      <c r="CM121" s="301">
        <v>97987000</v>
      </c>
      <c r="CN121" s="301">
        <v>1169.46</v>
      </c>
      <c r="CO121" s="300">
        <v>7343.97</v>
      </c>
      <c r="CP121" s="300"/>
      <c r="CS121" s="298"/>
      <c r="CT121" s="299"/>
      <c r="CU121" s="300" t="s">
        <v>156</v>
      </c>
      <c r="CV121" s="300" t="s">
        <v>172</v>
      </c>
      <c r="CW121" s="300">
        <v>36674.300000000003</v>
      </c>
      <c r="CX121" s="301">
        <v>98454500</v>
      </c>
      <c r="CY121" s="301">
        <v>1175.05</v>
      </c>
      <c r="CZ121" s="300">
        <v>7379.01</v>
      </c>
      <c r="DA121" s="300"/>
      <c r="DD121" s="298"/>
      <c r="DE121" s="299"/>
      <c r="DF121" s="300" t="s">
        <v>156</v>
      </c>
      <c r="DG121" s="300" t="s">
        <v>172</v>
      </c>
      <c r="DH121" s="300">
        <v>36349.300000000003</v>
      </c>
      <c r="DI121" s="301">
        <v>97581900</v>
      </c>
      <c r="DJ121" s="301">
        <v>1164.6300000000001</v>
      </c>
      <c r="DK121" s="300">
        <v>7313.61</v>
      </c>
      <c r="DL121" s="300"/>
      <c r="DO121" s="298"/>
      <c r="DP121" s="299"/>
      <c r="DQ121" s="300" t="s">
        <v>156</v>
      </c>
      <c r="DR121" s="300" t="s">
        <v>172</v>
      </c>
      <c r="DS121" s="300">
        <v>33929.199999999997</v>
      </c>
      <c r="DT121" s="301">
        <v>91085100</v>
      </c>
      <c r="DU121" s="301">
        <v>1087.0899999999999</v>
      </c>
      <c r="DV121" s="300">
        <v>6826.68</v>
      </c>
      <c r="DW121" s="300"/>
    </row>
    <row r="122" spans="2:127">
      <c r="B122" s="298"/>
      <c r="C122" s="299"/>
      <c r="D122" s="300"/>
      <c r="E122" s="300"/>
      <c r="F122" s="301"/>
      <c r="G122" s="301"/>
      <c r="H122" s="301"/>
      <c r="I122" s="301"/>
      <c r="J122" s="300"/>
      <c r="L122" s="298"/>
      <c r="M122" s="299"/>
      <c r="N122" s="300"/>
      <c r="O122" s="300"/>
      <c r="P122" s="301"/>
      <c r="Q122" s="301"/>
      <c r="R122" s="301"/>
      <c r="S122" s="301"/>
      <c r="T122" s="300"/>
      <c r="V122" s="298"/>
      <c r="W122" s="299"/>
      <c r="X122" s="300"/>
      <c r="Y122" s="300"/>
      <c r="Z122" s="301"/>
      <c r="AA122" s="301"/>
      <c r="AB122" s="301"/>
      <c r="AC122" s="301"/>
      <c r="AD122" s="300"/>
      <c r="AF122" s="298"/>
      <c r="AG122" s="299"/>
      <c r="AH122" s="300"/>
      <c r="AI122" s="300"/>
      <c r="AJ122" s="301"/>
      <c r="AK122" s="301"/>
      <c r="AL122" s="301"/>
      <c r="AM122" s="301"/>
      <c r="AN122" s="300"/>
      <c r="AP122" s="298"/>
      <c r="AQ122" s="299"/>
      <c r="AR122" s="300"/>
      <c r="AS122" s="300"/>
      <c r="AT122" s="301"/>
      <c r="AU122" s="301"/>
      <c r="AV122" s="301"/>
      <c r="AW122" s="301"/>
      <c r="AX122" s="300"/>
      <c r="BA122" s="298"/>
      <c r="BB122" s="299"/>
      <c r="BC122" s="300"/>
      <c r="BD122" s="300"/>
      <c r="BE122" s="301"/>
      <c r="BF122" s="301"/>
      <c r="BG122" s="301"/>
      <c r="BH122" s="301"/>
      <c r="BI122" s="300"/>
      <c r="BL122" s="298"/>
      <c r="BM122" s="299"/>
      <c r="BN122" s="300"/>
      <c r="BO122" s="300"/>
      <c r="BP122" s="301"/>
      <c r="BQ122" s="301"/>
      <c r="BR122" s="301"/>
      <c r="BS122" s="301"/>
      <c r="BT122" s="300"/>
      <c r="BW122" s="298"/>
      <c r="BX122" s="299"/>
      <c r="BY122" s="300"/>
      <c r="BZ122" s="300"/>
      <c r="CA122" s="301"/>
      <c r="CB122" s="301"/>
      <c r="CC122" s="301"/>
      <c r="CD122" s="301"/>
      <c r="CE122" s="300"/>
      <c r="CH122" s="298"/>
      <c r="CI122" s="299"/>
      <c r="CJ122" s="300"/>
      <c r="CK122" s="300"/>
      <c r="CL122" s="301"/>
      <c r="CM122" s="301"/>
      <c r="CN122" s="301"/>
      <c r="CO122" s="301"/>
      <c r="CP122" s="300"/>
      <c r="CS122" s="298"/>
      <c r="CT122" s="299"/>
      <c r="CU122" s="300"/>
      <c r="CV122" s="300"/>
      <c r="CW122" s="301"/>
      <c r="CX122" s="301"/>
      <c r="CY122" s="301"/>
      <c r="CZ122" s="301"/>
      <c r="DA122" s="300"/>
      <c r="DD122" s="298"/>
      <c r="DE122" s="299"/>
      <c r="DF122" s="300"/>
      <c r="DG122" s="300"/>
      <c r="DH122" s="301"/>
      <c r="DI122" s="301"/>
      <c r="DJ122" s="301"/>
      <c r="DK122" s="301"/>
      <c r="DL122" s="300"/>
      <c r="DO122" s="298"/>
      <c r="DP122" s="299"/>
      <c r="DQ122" s="300"/>
      <c r="DR122" s="300"/>
      <c r="DS122" s="301"/>
      <c r="DT122" s="301"/>
      <c r="DU122" s="301"/>
      <c r="DV122" s="301"/>
      <c r="DW122" s="300"/>
    </row>
    <row r="123" spans="2:127">
      <c r="B123" s="298"/>
      <c r="C123" s="299"/>
      <c r="D123" s="300"/>
      <c r="E123" s="300"/>
      <c r="F123" s="301"/>
      <c r="G123" s="301"/>
      <c r="H123" s="301"/>
      <c r="I123" s="301"/>
      <c r="J123" s="300"/>
      <c r="L123" s="298"/>
      <c r="M123" s="299"/>
      <c r="N123" s="300"/>
      <c r="O123" s="300"/>
      <c r="P123" s="301"/>
      <c r="Q123" s="301"/>
      <c r="R123" s="301"/>
      <c r="S123" s="301"/>
      <c r="T123" s="300"/>
      <c r="V123" s="298"/>
      <c r="W123" s="299"/>
      <c r="X123" s="300"/>
      <c r="Y123" s="300"/>
      <c r="Z123" s="301"/>
      <c r="AA123" s="301"/>
      <c r="AB123" s="301"/>
      <c r="AC123" s="301"/>
      <c r="AD123" s="300"/>
      <c r="AF123" s="298"/>
      <c r="AG123" s="299"/>
      <c r="AH123" s="300"/>
      <c r="AI123" s="300"/>
      <c r="AJ123" s="301"/>
      <c r="AK123" s="301"/>
      <c r="AL123" s="301"/>
      <c r="AM123" s="301"/>
      <c r="AN123" s="300"/>
      <c r="AP123" s="298"/>
      <c r="AQ123" s="299"/>
      <c r="AR123" s="300"/>
      <c r="AS123" s="300"/>
      <c r="AT123" s="301"/>
      <c r="AU123" s="301"/>
      <c r="AV123" s="301"/>
      <c r="AW123" s="301"/>
      <c r="AX123" s="300"/>
      <c r="BA123" s="298"/>
      <c r="BB123" s="299"/>
      <c r="BC123" s="300"/>
      <c r="BD123" s="300"/>
      <c r="BE123" s="301"/>
      <c r="BF123" s="301"/>
      <c r="BG123" s="301"/>
      <c r="BH123" s="301"/>
      <c r="BI123" s="300"/>
      <c r="BL123" s="298"/>
      <c r="BM123" s="299"/>
      <c r="BN123" s="300"/>
      <c r="BO123" s="300"/>
      <c r="BP123" s="301"/>
      <c r="BQ123" s="301"/>
      <c r="BR123" s="301"/>
      <c r="BS123" s="301"/>
      <c r="BT123" s="300"/>
      <c r="BW123" s="298"/>
      <c r="BX123" s="299"/>
      <c r="BY123" s="300"/>
      <c r="BZ123" s="300"/>
      <c r="CA123" s="301"/>
      <c r="CB123" s="301"/>
      <c r="CC123" s="301"/>
      <c r="CD123" s="301"/>
      <c r="CE123" s="300"/>
      <c r="CH123" s="298"/>
      <c r="CI123" s="299"/>
      <c r="CJ123" s="300"/>
      <c r="CK123" s="300"/>
      <c r="CL123" s="301"/>
      <c r="CM123" s="301"/>
      <c r="CN123" s="301"/>
      <c r="CO123" s="301"/>
      <c r="CP123" s="300"/>
      <c r="CS123" s="298"/>
      <c r="CT123" s="299"/>
      <c r="CU123" s="300"/>
      <c r="CV123" s="300"/>
      <c r="CW123" s="301"/>
      <c r="CX123" s="301"/>
      <c r="CY123" s="301"/>
      <c r="CZ123" s="301"/>
      <c r="DA123" s="300"/>
      <c r="DD123" s="298"/>
      <c r="DE123" s="299"/>
      <c r="DF123" s="300"/>
      <c r="DG123" s="300"/>
      <c r="DH123" s="301"/>
      <c r="DI123" s="301"/>
      <c r="DJ123" s="301"/>
      <c r="DK123" s="301"/>
      <c r="DL123" s="300"/>
      <c r="DO123" s="298"/>
      <c r="DP123" s="299"/>
      <c r="DQ123" s="300"/>
      <c r="DR123" s="300"/>
      <c r="DS123" s="301"/>
      <c r="DT123" s="301"/>
      <c r="DU123" s="301"/>
      <c r="DV123" s="301"/>
      <c r="DW123" s="300"/>
    </row>
    <row r="129" spans="2:40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</row>
    <row r="130" spans="2:40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</row>
    <row r="131" spans="2:40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</row>
    <row r="132" spans="2:40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</row>
    <row r="133" spans="2:40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</row>
    <row r="134" spans="2:40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</row>
    <row r="135" spans="2:40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</row>
    <row r="136" spans="2:40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</row>
    <row r="137" spans="2:40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</row>
    <row r="138" spans="2:40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</row>
    <row r="139" spans="2:40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</row>
    <row r="140" spans="2:40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</row>
    <row r="141" spans="2:40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</row>
    <row r="142" spans="2:40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</row>
    <row r="143" spans="2:40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</row>
    <row r="144" spans="2:40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</row>
    <row r="145" spans="2:40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</row>
    <row r="146" spans="2:40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</row>
    <row r="147" spans="2:40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</row>
    <row r="148" spans="2:40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</row>
    <row r="149" spans="2:40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</row>
    <row r="150" spans="2:40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</row>
    <row r="151" spans="2:40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</row>
    <row r="152" spans="2:40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</row>
    <row r="153" spans="2:40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</row>
    <row r="154" spans="2:40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</row>
    <row r="155" spans="2:40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</row>
    <row r="156" spans="2:40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</row>
    <row r="157" spans="2:40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</row>
    <row r="158" spans="2:40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</row>
    <row r="159" spans="2:40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</row>
    <row r="160" spans="2:40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</row>
    <row r="161" spans="2:40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</row>
    <row r="162" spans="2:40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</row>
    <row r="163" spans="2:40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</row>
    <row r="164" spans="2:40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</row>
    <row r="165" spans="2:40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</row>
    <row r="166" spans="2:40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</row>
    <row r="167" spans="2:40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</row>
    <row r="168" spans="2:40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</row>
    <row r="169" spans="2:40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</row>
    <row r="170" spans="2:40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</row>
    <row r="171" spans="2:40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</row>
    <row r="172" spans="2:40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</row>
    <row r="173" spans="2:40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</row>
    <row r="174" spans="2:40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</row>
    <row r="175" spans="2:40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</row>
    <row r="176" spans="2:40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</row>
    <row r="177" spans="2:40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</row>
    <row r="178" spans="2:40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</row>
    <row r="179" spans="2:40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</row>
    <row r="180" spans="2:40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</row>
    <row r="181" spans="2:40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A424-4E1A-42C4-8A5C-F499D81C2EEF}">
  <dimension ref="A1:G64"/>
  <sheetViews>
    <sheetView topLeftCell="A25" workbookViewId="0">
      <selection activeCell="J53" sqref="J53"/>
    </sheetView>
  </sheetViews>
  <sheetFormatPr defaultRowHeight="16.5"/>
  <cols>
    <col min="2" max="2" width="17.5" bestFit="1" customWidth="1"/>
    <col min="5" max="5" width="15.125" bestFit="1" customWidth="1"/>
  </cols>
  <sheetData>
    <row r="1" spans="1:7">
      <c r="A1" t="s">
        <v>507</v>
      </c>
    </row>
    <row r="3" spans="1:7">
      <c r="A3" t="s">
        <v>508</v>
      </c>
      <c r="B3" t="s">
        <v>509</v>
      </c>
      <c r="C3" t="s">
        <v>510</v>
      </c>
      <c r="D3" t="s">
        <v>511</v>
      </c>
      <c r="E3" t="s">
        <v>512</v>
      </c>
      <c r="F3" t="s">
        <v>513</v>
      </c>
      <c r="G3" t="s">
        <v>514</v>
      </c>
    </row>
    <row r="4" spans="1:7">
      <c r="D4" t="s">
        <v>515</v>
      </c>
      <c r="E4" t="s">
        <v>515</v>
      </c>
      <c r="F4" t="s">
        <v>1012</v>
      </c>
      <c r="G4" t="s">
        <v>1012</v>
      </c>
    </row>
    <row r="11" spans="1:7">
      <c r="A11" t="s">
        <v>145</v>
      </c>
      <c r="B11" t="s">
        <v>1013</v>
      </c>
      <c r="C11" t="s">
        <v>523</v>
      </c>
    </row>
    <row r="12" spans="1:7">
      <c r="A12" t="s">
        <v>145</v>
      </c>
      <c r="B12" t="s">
        <v>1014</v>
      </c>
      <c r="C12" t="s">
        <v>518</v>
      </c>
      <c r="D12">
        <v>0</v>
      </c>
      <c r="E12">
        <v>0</v>
      </c>
      <c r="F12">
        <v>0</v>
      </c>
      <c r="G12">
        <v>0</v>
      </c>
    </row>
    <row r="13" spans="1:7">
      <c r="A13" t="s">
        <v>145</v>
      </c>
      <c r="B13" t="s">
        <v>1015</v>
      </c>
      <c r="C13" t="s">
        <v>518</v>
      </c>
      <c r="D13">
        <v>0</v>
      </c>
      <c r="E13">
        <v>0</v>
      </c>
      <c r="F13">
        <v>0</v>
      </c>
      <c r="G13">
        <v>0</v>
      </c>
    </row>
    <row r="14" spans="1:7">
      <c r="A14" t="s">
        <v>145</v>
      </c>
      <c r="B14" t="s">
        <v>1016</v>
      </c>
      <c r="C14" t="s">
        <v>546</v>
      </c>
    </row>
    <row r="15" spans="1:7">
      <c r="A15" t="s">
        <v>145</v>
      </c>
      <c r="B15" t="s">
        <v>1017</v>
      </c>
      <c r="C15" t="s">
        <v>523</v>
      </c>
    </row>
    <row r="16" spans="1:7">
      <c r="A16" t="s">
        <v>145</v>
      </c>
      <c r="B16" t="s">
        <v>1018</v>
      </c>
      <c r="C16" t="s">
        <v>523</v>
      </c>
    </row>
    <row r="17" spans="1:7">
      <c r="A17" t="s">
        <v>145</v>
      </c>
      <c r="B17" t="s">
        <v>1019</v>
      </c>
      <c r="C17" t="s">
        <v>546</v>
      </c>
    </row>
    <row r="18" spans="1:7">
      <c r="A18" t="s">
        <v>145</v>
      </c>
      <c r="B18" t="s">
        <v>1020</v>
      </c>
      <c r="C18" t="s">
        <v>518</v>
      </c>
      <c r="D18">
        <v>0</v>
      </c>
      <c r="E18">
        <v>0</v>
      </c>
      <c r="F18">
        <v>0</v>
      </c>
      <c r="G18">
        <v>0</v>
      </c>
    </row>
    <row r="19" spans="1:7">
      <c r="A19" t="s">
        <v>145</v>
      </c>
      <c r="B19" t="s">
        <v>519</v>
      </c>
      <c r="C19" t="s">
        <v>520</v>
      </c>
    </row>
    <row r="21" spans="1:7">
      <c r="A21" t="s">
        <v>522</v>
      </c>
      <c r="B21" t="s">
        <v>159</v>
      </c>
      <c r="C21" t="s">
        <v>518</v>
      </c>
      <c r="D21">
        <v>0</v>
      </c>
      <c r="E21">
        <v>0</v>
      </c>
      <c r="F21">
        <v>0</v>
      </c>
      <c r="G21">
        <v>0</v>
      </c>
    </row>
    <row r="22" spans="1:7">
      <c r="A22" t="s">
        <v>522</v>
      </c>
      <c r="B22" t="s">
        <v>536</v>
      </c>
      <c r="C22" t="s">
        <v>520</v>
      </c>
      <c r="D22" s="48">
        <v>449600</v>
      </c>
      <c r="E22" s="48">
        <v>165100</v>
      </c>
      <c r="F22" s="48">
        <v>77400</v>
      </c>
      <c r="G22" s="48">
        <v>123720</v>
      </c>
    </row>
    <row r="23" spans="1:7">
      <c r="A23" t="s">
        <v>522</v>
      </c>
      <c r="B23" t="s">
        <v>558</v>
      </c>
      <c r="C23" t="s">
        <v>520</v>
      </c>
      <c r="D23" s="48">
        <v>827300</v>
      </c>
      <c r="E23" s="48">
        <v>465200</v>
      </c>
      <c r="F23" s="48">
        <v>201800</v>
      </c>
      <c r="G23" s="48">
        <v>260882</v>
      </c>
    </row>
    <row r="24" spans="1:7">
      <c r="A24" t="s">
        <v>522</v>
      </c>
      <c r="B24" t="s">
        <v>549</v>
      </c>
      <c r="C24" t="s">
        <v>520</v>
      </c>
      <c r="D24" s="48">
        <v>812700</v>
      </c>
      <c r="E24" s="48">
        <v>583200</v>
      </c>
      <c r="F24" s="48">
        <v>245600</v>
      </c>
      <c r="G24" s="48">
        <v>284078</v>
      </c>
    </row>
    <row r="25" spans="1:7">
      <c r="A25" t="s">
        <v>522</v>
      </c>
      <c r="B25" t="s">
        <v>550</v>
      </c>
      <c r="C25" t="s">
        <v>520</v>
      </c>
      <c r="D25" s="48">
        <v>879100</v>
      </c>
      <c r="E25" s="48">
        <v>674200</v>
      </c>
      <c r="F25" s="48">
        <v>288900</v>
      </c>
      <c r="G25" s="48">
        <v>324361</v>
      </c>
    </row>
    <row r="26" spans="1:7">
      <c r="A26" t="s">
        <v>522</v>
      </c>
      <c r="B26" t="s">
        <v>547</v>
      </c>
      <c r="C26" t="s">
        <v>520</v>
      </c>
      <c r="D26" s="48">
        <v>3166900</v>
      </c>
      <c r="E26" s="48">
        <v>2366000</v>
      </c>
      <c r="F26" s="48">
        <v>1062700</v>
      </c>
      <c r="G26" s="48">
        <v>1216094</v>
      </c>
    </row>
    <row r="27" spans="1:7">
      <c r="A27" t="s">
        <v>522</v>
      </c>
      <c r="B27" t="s">
        <v>539</v>
      </c>
      <c r="C27" t="s">
        <v>518</v>
      </c>
      <c r="D27">
        <v>0</v>
      </c>
      <c r="E27">
        <v>0</v>
      </c>
      <c r="F27">
        <v>0</v>
      </c>
      <c r="G27">
        <v>0</v>
      </c>
    </row>
    <row r="28" spans="1:7">
      <c r="A28" t="s">
        <v>522</v>
      </c>
      <c r="B28" t="s">
        <v>540</v>
      </c>
      <c r="C28" t="s">
        <v>523</v>
      </c>
      <c r="D28" s="48">
        <v>897800</v>
      </c>
      <c r="E28" s="48">
        <v>785600</v>
      </c>
      <c r="F28" s="48">
        <v>251000</v>
      </c>
      <c r="G28" s="48">
        <v>267561</v>
      </c>
    </row>
    <row r="29" spans="1:7">
      <c r="A29" t="s">
        <v>522</v>
      </c>
      <c r="B29" t="s">
        <v>541</v>
      </c>
      <c r="C29" t="s">
        <v>527</v>
      </c>
      <c r="D29" s="48">
        <v>348500</v>
      </c>
      <c r="E29" s="48">
        <v>58600</v>
      </c>
      <c r="F29" s="48">
        <v>17500</v>
      </c>
      <c r="G29" s="48">
        <v>60908</v>
      </c>
    </row>
    <row r="30" spans="1:7">
      <c r="A30" t="s">
        <v>522</v>
      </c>
      <c r="B30" t="s">
        <v>542</v>
      </c>
      <c r="C30" t="s">
        <v>518</v>
      </c>
      <c r="D30">
        <v>0</v>
      </c>
      <c r="E30">
        <v>0</v>
      </c>
      <c r="F30">
        <v>0</v>
      </c>
      <c r="G30">
        <v>0</v>
      </c>
    </row>
    <row r="31" spans="1:7">
      <c r="A31" t="s">
        <v>522</v>
      </c>
      <c r="B31" t="s">
        <v>543</v>
      </c>
      <c r="C31" t="s">
        <v>530</v>
      </c>
      <c r="D31" s="48">
        <v>955000</v>
      </c>
      <c r="E31" s="48">
        <v>777800</v>
      </c>
      <c r="F31" s="48">
        <v>224700</v>
      </c>
      <c r="G31" s="48">
        <v>251939</v>
      </c>
    </row>
    <row r="32" spans="1:7">
      <c r="A32" t="s">
        <v>522</v>
      </c>
      <c r="B32" t="s">
        <v>544</v>
      </c>
      <c r="C32" t="s">
        <v>532</v>
      </c>
      <c r="D32" s="48">
        <v>116200</v>
      </c>
      <c r="E32" s="48">
        <v>33900</v>
      </c>
      <c r="F32" s="48">
        <v>2500</v>
      </c>
      <c r="G32" s="48">
        <v>15774</v>
      </c>
    </row>
    <row r="33" spans="1:7">
      <c r="A33" t="s">
        <v>522</v>
      </c>
      <c r="B33" t="s">
        <v>545</v>
      </c>
      <c r="C33" t="s">
        <v>534</v>
      </c>
      <c r="D33" s="48">
        <v>6148500</v>
      </c>
      <c r="E33" s="48">
        <v>3954700</v>
      </c>
      <c r="F33" s="48">
        <v>1608400</v>
      </c>
      <c r="G33" s="48">
        <v>1959453</v>
      </c>
    </row>
    <row r="34" spans="1:7">
      <c r="A34" t="s">
        <v>522</v>
      </c>
      <c r="B34" t="s">
        <v>551</v>
      </c>
      <c r="C34" t="s">
        <v>518</v>
      </c>
      <c r="D34">
        <v>0</v>
      </c>
      <c r="E34">
        <v>0</v>
      </c>
      <c r="F34">
        <v>0</v>
      </c>
      <c r="G34">
        <v>0</v>
      </c>
    </row>
    <row r="35" spans="1:7">
      <c r="A35" t="s">
        <v>522</v>
      </c>
      <c r="B35" t="s">
        <v>552</v>
      </c>
      <c r="C35" t="s">
        <v>523</v>
      </c>
      <c r="D35" s="48">
        <v>160000</v>
      </c>
      <c r="E35" s="48">
        <v>123900</v>
      </c>
      <c r="F35" s="48">
        <v>33700</v>
      </c>
      <c r="G35" s="48">
        <v>38194</v>
      </c>
    </row>
    <row r="36" spans="1:7">
      <c r="A36" t="s">
        <v>522</v>
      </c>
      <c r="B36" t="s">
        <v>553</v>
      </c>
      <c r="C36" t="s">
        <v>527</v>
      </c>
      <c r="D36" s="48">
        <v>201300</v>
      </c>
      <c r="E36" s="48">
        <v>34700</v>
      </c>
      <c r="F36" s="48">
        <v>10800</v>
      </c>
      <c r="G36" s="48">
        <v>32054</v>
      </c>
    </row>
    <row r="37" spans="1:7">
      <c r="A37" t="s">
        <v>522</v>
      </c>
      <c r="B37" t="s">
        <v>554</v>
      </c>
      <c r="C37" t="s">
        <v>518</v>
      </c>
      <c r="D37">
        <v>0</v>
      </c>
      <c r="E37">
        <v>0</v>
      </c>
      <c r="F37">
        <v>0</v>
      </c>
      <c r="G37">
        <v>0</v>
      </c>
    </row>
    <row r="38" spans="1:7">
      <c r="A38" t="s">
        <v>522</v>
      </c>
      <c r="B38" t="s">
        <v>555</v>
      </c>
      <c r="C38" t="s">
        <v>530</v>
      </c>
      <c r="D38" s="48">
        <v>1503700</v>
      </c>
      <c r="E38" s="48">
        <v>1331400</v>
      </c>
      <c r="F38" s="48">
        <v>365400</v>
      </c>
      <c r="G38" s="48">
        <v>392830</v>
      </c>
    </row>
    <row r="39" spans="1:7">
      <c r="A39" t="s">
        <v>522</v>
      </c>
      <c r="B39" t="s">
        <v>556</v>
      </c>
      <c r="C39" t="s">
        <v>532</v>
      </c>
      <c r="D39" s="48">
        <v>63500</v>
      </c>
      <c r="E39" s="48">
        <v>10000</v>
      </c>
      <c r="F39">
        <v>740</v>
      </c>
      <c r="G39" s="48">
        <v>7162</v>
      </c>
    </row>
    <row r="40" spans="1:7">
      <c r="A40" t="s">
        <v>522</v>
      </c>
      <c r="B40" t="s">
        <v>557</v>
      </c>
      <c r="C40" t="s">
        <v>534</v>
      </c>
      <c r="D40" s="48">
        <v>1913800</v>
      </c>
      <c r="E40" s="48">
        <v>1126100</v>
      </c>
      <c r="F40" s="48">
        <v>461800</v>
      </c>
      <c r="G40" s="48">
        <v>591270</v>
      </c>
    </row>
    <row r="41" spans="1:7">
      <c r="A41" t="s">
        <v>522</v>
      </c>
      <c r="B41" t="s">
        <v>524</v>
      </c>
      <c r="C41" t="s">
        <v>518</v>
      </c>
      <c r="D41">
        <v>0</v>
      </c>
      <c r="E41">
        <v>0</v>
      </c>
      <c r="F41">
        <v>0</v>
      </c>
      <c r="G41">
        <v>0</v>
      </c>
    </row>
    <row r="42" spans="1:7">
      <c r="A42" t="s">
        <v>522</v>
      </c>
      <c r="B42" t="s">
        <v>525</v>
      </c>
      <c r="C42" t="s">
        <v>523</v>
      </c>
      <c r="D42" s="48">
        <v>23900</v>
      </c>
      <c r="E42" s="48">
        <v>11000</v>
      </c>
      <c r="F42" s="48">
        <v>1000</v>
      </c>
      <c r="G42" s="48">
        <v>2100</v>
      </c>
    </row>
    <row r="43" spans="1:7">
      <c r="A43" t="s">
        <v>522</v>
      </c>
      <c r="B43" t="s">
        <v>526</v>
      </c>
      <c r="C43" t="s">
        <v>527</v>
      </c>
      <c r="D43" s="48">
        <v>79700</v>
      </c>
      <c r="E43" s="48">
        <v>17600</v>
      </c>
      <c r="F43" s="48">
        <v>4000</v>
      </c>
      <c r="G43" s="48">
        <v>8328</v>
      </c>
    </row>
    <row r="44" spans="1:7">
      <c r="A44" t="s">
        <v>522</v>
      </c>
      <c r="B44" t="s">
        <v>528</v>
      </c>
      <c r="C44" t="s">
        <v>518</v>
      </c>
      <c r="D44">
        <v>0</v>
      </c>
      <c r="E44">
        <v>0</v>
      </c>
      <c r="F44">
        <v>0</v>
      </c>
      <c r="G44">
        <v>0</v>
      </c>
    </row>
    <row r="45" spans="1:7">
      <c r="A45" t="s">
        <v>522</v>
      </c>
      <c r="B45" t="s">
        <v>529</v>
      </c>
      <c r="C45" t="s">
        <v>530</v>
      </c>
      <c r="D45" s="48">
        <v>216300</v>
      </c>
      <c r="E45" s="48">
        <v>120800</v>
      </c>
      <c r="F45" s="48">
        <v>32800</v>
      </c>
      <c r="G45" s="48">
        <v>48571</v>
      </c>
    </row>
    <row r="46" spans="1:7">
      <c r="A46" t="s">
        <v>522</v>
      </c>
      <c r="B46" t="s">
        <v>531</v>
      </c>
      <c r="C46" t="s">
        <v>532</v>
      </c>
      <c r="D46" s="48">
        <v>27800</v>
      </c>
      <c r="E46" s="48">
        <v>4800</v>
      </c>
      <c r="F46">
        <v>210</v>
      </c>
      <c r="G46" s="48">
        <v>1706</v>
      </c>
    </row>
    <row r="47" spans="1:7">
      <c r="A47" t="s">
        <v>522</v>
      </c>
      <c r="B47" t="s">
        <v>533</v>
      </c>
      <c r="C47" t="s">
        <v>534</v>
      </c>
      <c r="D47" s="48">
        <v>359100</v>
      </c>
      <c r="E47" s="48">
        <v>158600</v>
      </c>
      <c r="F47" s="48">
        <v>56300</v>
      </c>
      <c r="G47" s="48">
        <v>83523</v>
      </c>
    </row>
    <row r="48" spans="1:7">
      <c r="A48" t="s">
        <v>522</v>
      </c>
      <c r="B48" t="s">
        <v>793</v>
      </c>
      <c r="C48" t="s">
        <v>535</v>
      </c>
    </row>
    <row r="49" spans="1:7">
      <c r="A49" t="s">
        <v>522</v>
      </c>
      <c r="B49" t="s">
        <v>789</v>
      </c>
      <c r="C49" t="s">
        <v>535</v>
      </c>
    </row>
    <row r="50" spans="1:7">
      <c r="A50" t="s">
        <v>522</v>
      </c>
      <c r="B50" t="s">
        <v>161</v>
      </c>
      <c r="C50" t="s">
        <v>518</v>
      </c>
      <c r="D50">
        <v>0</v>
      </c>
      <c r="E50">
        <v>0</v>
      </c>
      <c r="F50">
        <v>0</v>
      </c>
      <c r="G50">
        <v>0</v>
      </c>
    </row>
    <row r="51" spans="1:7">
      <c r="A51" t="s">
        <v>522</v>
      </c>
      <c r="B51" t="s">
        <v>160</v>
      </c>
      <c r="C51" t="s">
        <v>518</v>
      </c>
      <c r="D51">
        <v>0</v>
      </c>
      <c r="E51">
        <v>0</v>
      </c>
      <c r="F51">
        <v>0</v>
      </c>
      <c r="G51">
        <v>0</v>
      </c>
    </row>
    <row r="52" spans="1:7">
      <c r="A52" t="s">
        <v>522</v>
      </c>
      <c r="B52" t="s">
        <v>158</v>
      </c>
      <c r="C52" t="s">
        <v>518</v>
      </c>
      <c r="D52">
        <v>0</v>
      </c>
      <c r="E52">
        <v>0</v>
      </c>
      <c r="F52">
        <v>0</v>
      </c>
      <c r="G52">
        <v>0</v>
      </c>
    </row>
    <row r="53" spans="1:7">
      <c r="A53" t="s">
        <v>522</v>
      </c>
      <c r="B53" t="s">
        <v>141</v>
      </c>
      <c r="C53" t="s">
        <v>518</v>
      </c>
      <c r="D53">
        <v>0</v>
      </c>
      <c r="E53">
        <v>0</v>
      </c>
      <c r="F53">
        <v>0</v>
      </c>
      <c r="G53">
        <v>0</v>
      </c>
    </row>
    <row r="54" spans="1:7">
      <c r="A54" t="s">
        <v>522</v>
      </c>
      <c r="B54" t="s">
        <v>142</v>
      </c>
      <c r="C54" t="s">
        <v>523</v>
      </c>
    </row>
    <row r="55" spans="1:7">
      <c r="A55" t="s">
        <v>522</v>
      </c>
      <c r="B55" t="s">
        <v>1021</v>
      </c>
      <c r="C55" t="s">
        <v>523</v>
      </c>
      <c r="D55" s="48">
        <v>799000</v>
      </c>
      <c r="E55" s="48">
        <v>770000</v>
      </c>
      <c r="F55" s="48">
        <v>245500</v>
      </c>
      <c r="G55" s="48">
        <v>249322</v>
      </c>
    </row>
    <row r="56" spans="1:7">
      <c r="A56" t="s">
        <v>522</v>
      </c>
      <c r="B56" t="s">
        <v>1022</v>
      </c>
      <c r="C56" t="s">
        <v>523</v>
      </c>
      <c r="D56" s="48">
        <v>667300</v>
      </c>
      <c r="E56" s="48">
        <v>646300</v>
      </c>
      <c r="F56" s="48">
        <v>180000</v>
      </c>
      <c r="G56" s="48">
        <v>182261</v>
      </c>
    </row>
    <row r="57" spans="1:7">
      <c r="A57" t="s">
        <v>522</v>
      </c>
      <c r="B57" t="s">
        <v>163</v>
      </c>
      <c r="C57" t="s">
        <v>523</v>
      </c>
      <c r="D57" s="48">
        <v>1435300</v>
      </c>
      <c r="E57" s="48">
        <v>1316700</v>
      </c>
      <c r="F57" s="48">
        <v>373600</v>
      </c>
      <c r="G57" s="48">
        <v>391318</v>
      </c>
    </row>
    <row r="58" spans="1:7">
      <c r="A58" t="s">
        <v>522</v>
      </c>
      <c r="B58" t="s">
        <v>1023</v>
      </c>
      <c r="C58" t="s">
        <v>523</v>
      </c>
      <c r="D58" s="48">
        <v>1191300</v>
      </c>
      <c r="E58" s="48">
        <v>1112400</v>
      </c>
      <c r="F58" s="48">
        <v>314800</v>
      </c>
      <c r="G58" s="48">
        <v>327046</v>
      </c>
    </row>
    <row r="59" spans="1:7">
      <c r="A59" t="s">
        <v>522</v>
      </c>
      <c r="B59" t="s">
        <v>1024</v>
      </c>
      <c r="C59" t="s">
        <v>523</v>
      </c>
      <c r="D59" s="48">
        <v>970300</v>
      </c>
      <c r="E59" s="48">
        <v>949000</v>
      </c>
      <c r="F59" s="48">
        <v>272400</v>
      </c>
      <c r="G59" s="48">
        <v>274711</v>
      </c>
    </row>
    <row r="60" spans="1:7">
      <c r="A60" t="s">
        <v>522</v>
      </c>
      <c r="B60" t="s">
        <v>151</v>
      </c>
      <c r="C60" t="s">
        <v>523</v>
      </c>
      <c r="D60" s="48">
        <v>252900</v>
      </c>
      <c r="E60" s="48">
        <v>236100</v>
      </c>
      <c r="F60" s="48">
        <v>66900</v>
      </c>
      <c r="G60" s="48">
        <v>68962</v>
      </c>
    </row>
    <row r="61" spans="1:7">
      <c r="A61" t="s">
        <v>522</v>
      </c>
      <c r="B61" t="s">
        <v>148</v>
      </c>
      <c r="C61" t="s">
        <v>523</v>
      </c>
    </row>
    <row r="62" spans="1:7">
      <c r="A62" t="s">
        <v>522</v>
      </c>
      <c r="B62" t="s">
        <v>146</v>
      </c>
      <c r="C62" t="s">
        <v>523</v>
      </c>
      <c r="D62" s="48">
        <v>17682200</v>
      </c>
      <c r="E62" s="48">
        <v>7976800</v>
      </c>
      <c r="F62" s="48">
        <v>1048800</v>
      </c>
      <c r="G62" s="48">
        <v>1675328</v>
      </c>
    </row>
    <row r="63" spans="1:7">
      <c r="A63" t="s">
        <v>522</v>
      </c>
      <c r="B63" t="s">
        <v>1025</v>
      </c>
      <c r="C63" t="s">
        <v>523</v>
      </c>
      <c r="D63" s="48">
        <v>3472500</v>
      </c>
      <c r="E63" s="48">
        <v>3419400</v>
      </c>
      <c r="F63" s="48">
        <v>981200</v>
      </c>
      <c r="G63" s="48">
        <v>988913</v>
      </c>
    </row>
    <row r="64" spans="1:7">
      <c r="A64" t="s">
        <v>522</v>
      </c>
      <c r="B64" t="s">
        <v>566</v>
      </c>
      <c r="C64" t="s">
        <v>518</v>
      </c>
      <c r="D64">
        <v>0</v>
      </c>
      <c r="E64">
        <v>0</v>
      </c>
      <c r="F64">
        <v>0</v>
      </c>
      <c r="G64">
        <v>0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17F0-F249-4B70-BC8F-BDE77AC3A713}">
  <sheetPr>
    <pageSetUpPr fitToPage="1"/>
  </sheetPr>
  <dimension ref="A1:AJ168"/>
  <sheetViews>
    <sheetView topLeftCell="A40" zoomScale="70" zoomScaleNormal="70" workbookViewId="0">
      <selection activeCell="G139" sqref="G139"/>
    </sheetView>
  </sheetViews>
  <sheetFormatPr defaultColWidth="9.125" defaultRowHeight="16.5"/>
  <cols>
    <col min="1" max="1" width="5.5" style="370" customWidth="1"/>
    <col min="2" max="2" width="26.25" style="370" customWidth="1"/>
    <col min="3" max="3" width="14.25" style="370" customWidth="1"/>
    <col min="4" max="4" width="14.5" style="370" customWidth="1"/>
    <col min="5" max="5" width="19.875" style="371" customWidth="1"/>
    <col min="6" max="6" width="18.5" style="371" bestFit="1" customWidth="1"/>
    <col min="7" max="7" width="18.875" style="370" bestFit="1" customWidth="1"/>
    <col min="8" max="8" width="18.5" style="370" bestFit="1" customWidth="1"/>
    <col min="9" max="9" width="17.875" style="370" customWidth="1"/>
    <col min="10" max="10" width="7.875" style="370" customWidth="1"/>
    <col min="11" max="11" width="31" style="370" bestFit="1" customWidth="1"/>
    <col min="12" max="12" width="12.5" style="370" bestFit="1" customWidth="1"/>
    <col min="13" max="13" width="13" style="370" customWidth="1"/>
    <col min="14" max="14" width="14.125" style="370" customWidth="1"/>
    <col min="15" max="15" width="12.125" style="370" customWidth="1"/>
    <col min="16" max="16" width="12.875" style="370" bestFit="1" customWidth="1"/>
    <col min="17" max="17" width="16.25" style="370" customWidth="1"/>
    <col min="18" max="20" width="16.5" style="370" bestFit="1" customWidth="1"/>
    <col min="21" max="21" width="3.5" style="370" customWidth="1"/>
    <col min="22" max="22" width="9.5" style="370" bestFit="1" customWidth="1"/>
    <col min="23" max="30" width="9.125" style="370"/>
    <col min="31" max="31" width="39.875" style="370" bestFit="1" customWidth="1"/>
    <col min="32" max="32" width="14.875" style="370" customWidth="1"/>
    <col min="33" max="33" width="10" style="370" bestFit="1" customWidth="1"/>
    <col min="34" max="16384" width="9.125" style="370"/>
  </cols>
  <sheetData>
    <row r="1" spans="1:16" ht="20.25">
      <c r="A1" s="45" t="s">
        <v>731</v>
      </c>
    </row>
    <row r="2" spans="1:16" ht="17.25" thickBot="1"/>
    <row r="3" spans="1:16" ht="21" thickBot="1">
      <c r="B3" s="937" t="s">
        <v>729</v>
      </c>
      <c r="C3" s="938"/>
      <c r="D3" s="938"/>
      <c r="E3" s="939"/>
      <c r="F3" s="359"/>
    </row>
    <row r="4" spans="1:16">
      <c r="B4" s="372" t="s">
        <v>720</v>
      </c>
      <c r="C4" s="373"/>
      <c r="D4" s="373"/>
      <c r="E4" s="374" t="s">
        <v>195</v>
      </c>
      <c r="F4" s="375"/>
      <c r="J4" s="435"/>
    </row>
    <row r="5" spans="1:16">
      <c r="B5" s="376" t="s">
        <v>723</v>
      </c>
      <c r="C5" s="377"/>
      <c r="D5" s="377"/>
      <c r="E5" s="378" t="s">
        <v>228</v>
      </c>
      <c r="F5" s="375"/>
      <c r="J5" s="435"/>
    </row>
    <row r="6" spans="1:16">
      <c r="B6" s="376" t="s">
        <v>724</v>
      </c>
      <c r="C6" s="377"/>
      <c r="D6" s="377"/>
      <c r="E6" s="378" t="s">
        <v>234</v>
      </c>
      <c r="F6" s="375"/>
      <c r="J6" s="435"/>
    </row>
    <row r="7" spans="1:16">
      <c r="B7" s="380" t="s">
        <v>725</v>
      </c>
      <c r="C7" s="377"/>
      <c r="D7" s="377"/>
      <c r="E7" s="378">
        <v>30</v>
      </c>
      <c r="F7" s="375"/>
    </row>
    <row r="8" spans="1:16">
      <c r="B8" s="380" t="s">
        <v>726</v>
      </c>
      <c r="C8" s="377"/>
      <c r="D8" s="377"/>
      <c r="E8" s="378">
        <v>8000</v>
      </c>
      <c r="F8" s="375"/>
    </row>
    <row r="9" spans="1:16">
      <c r="B9" s="380" t="s">
        <v>722</v>
      </c>
      <c r="C9" s="377"/>
      <c r="D9" s="377"/>
      <c r="E9" s="378" t="s">
        <v>730</v>
      </c>
      <c r="F9" s="375"/>
    </row>
    <row r="10" spans="1:16">
      <c r="B10" s="380" t="s">
        <v>727</v>
      </c>
      <c r="C10" s="377"/>
      <c r="D10" s="377"/>
      <c r="E10" s="381">
        <v>0.08</v>
      </c>
      <c r="F10" s="382"/>
    </row>
    <row r="11" spans="1:16">
      <c r="B11" s="380" t="s">
        <v>728</v>
      </c>
      <c r="C11" s="377"/>
      <c r="D11" s="377"/>
      <c r="E11" s="381">
        <v>0.35</v>
      </c>
      <c r="F11" s="382"/>
    </row>
    <row r="12" spans="1:16">
      <c r="B12" s="380" t="s">
        <v>881</v>
      </c>
      <c r="C12" s="377"/>
      <c r="D12" s="377"/>
      <c r="E12" s="381">
        <v>0.15</v>
      </c>
      <c r="F12" s="382"/>
    </row>
    <row r="13" spans="1:16">
      <c r="B13" s="380" t="s">
        <v>882</v>
      </c>
      <c r="C13" s="377"/>
      <c r="D13" s="377"/>
      <c r="E13" s="381">
        <v>0.25</v>
      </c>
      <c r="F13" s="382"/>
    </row>
    <row r="14" spans="1:16" ht="17.25" thickBot="1">
      <c r="B14" s="380" t="s">
        <v>883</v>
      </c>
      <c r="C14" s="377"/>
      <c r="D14" s="377"/>
      <c r="E14" s="381">
        <v>0.06</v>
      </c>
      <c r="F14" s="382"/>
    </row>
    <row r="15" spans="1:16" ht="17.25" thickBot="1">
      <c r="B15" s="383" t="s">
        <v>874</v>
      </c>
      <c r="C15" s="384"/>
      <c r="D15" s="384"/>
      <c r="E15" s="353">
        <f>E10*POWER(1+E10,E7)/(POWER(1+E10,E7)-1)</f>
        <v>8.8827433387272267E-2</v>
      </c>
      <c r="F15" s="360"/>
      <c r="P15" s="379"/>
    </row>
    <row r="16" spans="1:16">
      <c r="F16" s="385"/>
      <c r="P16" s="379"/>
    </row>
    <row r="18" spans="1:36" ht="20.25">
      <c r="A18" s="45" t="s">
        <v>902</v>
      </c>
    </row>
    <row r="19" spans="1:36" ht="17.25" thickBot="1"/>
    <row r="20" spans="1:36" ht="21" thickBot="1">
      <c r="B20" s="363"/>
      <c r="C20" s="364"/>
      <c r="D20" s="364"/>
      <c r="E20" s="474" t="s">
        <v>773</v>
      </c>
      <c r="F20" s="474" t="s">
        <v>774</v>
      </c>
      <c r="G20" s="474" t="s">
        <v>775</v>
      </c>
      <c r="H20" s="474" t="s">
        <v>776</v>
      </c>
      <c r="I20" s="475" t="s">
        <v>777</v>
      </c>
      <c r="K20" s="351"/>
      <c r="L20" s="351"/>
      <c r="M20" s="351"/>
      <c r="N20" s="351"/>
      <c r="O20" s="351"/>
      <c r="P20" s="351"/>
      <c r="Q20" s="351"/>
      <c r="R20" s="351"/>
      <c r="S20" s="351"/>
      <c r="T20" s="351"/>
      <c r="U20" s="351"/>
      <c r="V20" s="351"/>
      <c r="W20" s="351"/>
    </row>
    <row r="21" spans="1:36">
      <c r="B21" s="218" t="s">
        <v>866</v>
      </c>
      <c r="C21" s="233"/>
      <c r="D21" s="365">
        <f t="shared" ref="D21:I21" si="0">SUBTOTAL(9,D22:D36)</f>
        <v>5.0400000000000009</v>
      </c>
      <c r="E21" s="428">
        <f t="shared" si="0"/>
        <v>2529829068.224349</v>
      </c>
      <c r="F21" s="428">
        <f t="shared" si="0"/>
        <v>3095930522.1063867</v>
      </c>
      <c r="G21" s="428">
        <f t="shared" si="0"/>
        <v>2273902164.1687799</v>
      </c>
      <c r="H21" s="428">
        <f t="shared" si="0"/>
        <v>1975128666.8682957</v>
      </c>
      <c r="I21" s="429">
        <f t="shared" si="0"/>
        <v>1792108654.9168334</v>
      </c>
      <c r="J21" s="386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352"/>
      <c r="AI21" s="387"/>
      <c r="AJ21" s="386"/>
    </row>
    <row r="22" spans="1:36">
      <c r="B22" s="343" t="s">
        <v>867</v>
      </c>
      <c r="C22" s="436"/>
      <c r="D22" s="437">
        <f t="shared" ref="D22:I22" si="1">SUBTOTAL(9,D23:D30)</f>
        <v>3.6000000000000005</v>
      </c>
      <c r="E22" s="438">
        <f t="shared" si="1"/>
        <v>1807020763.0173922</v>
      </c>
      <c r="F22" s="438">
        <f t="shared" si="1"/>
        <v>2211378944.3617043</v>
      </c>
      <c r="G22" s="438">
        <f t="shared" si="1"/>
        <v>1624215831.5491285</v>
      </c>
      <c r="H22" s="438">
        <f t="shared" si="1"/>
        <v>1410806190.6202111</v>
      </c>
      <c r="I22" s="439">
        <f t="shared" si="1"/>
        <v>1280077610.6548808</v>
      </c>
      <c r="J22" s="386"/>
      <c r="K22" s="43"/>
      <c r="L22" s="43"/>
      <c r="M22" s="43"/>
      <c r="N22" s="43"/>
      <c r="O22" s="43"/>
      <c r="P22" s="43"/>
      <c r="Q22" s="43"/>
      <c r="R22" s="43"/>
      <c r="S22" s="43"/>
      <c r="T22" s="46"/>
      <c r="U22" s="46"/>
      <c r="V22" s="46"/>
      <c r="W22" s="389"/>
      <c r="AI22" s="387"/>
      <c r="AJ22" s="386"/>
    </row>
    <row r="23" spans="1:36">
      <c r="B23" s="222" t="s">
        <v>612</v>
      </c>
      <c r="C23" s="358"/>
      <c r="D23" s="388">
        <v>1</v>
      </c>
      <c r="E23" s="424">
        <v>501950211.94927573</v>
      </c>
      <c r="F23" s="424">
        <v>614271928.98936224</v>
      </c>
      <c r="G23" s="424">
        <v>451171064.3192023</v>
      </c>
      <c r="H23" s="424">
        <v>391890608.50561422</v>
      </c>
      <c r="I23" s="425">
        <v>355577114.07080019</v>
      </c>
      <c r="J23" s="386"/>
      <c r="K23" s="390"/>
      <c r="R23" s="391"/>
      <c r="T23" s="391"/>
      <c r="U23" s="391"/>
      <c r="V23" s="391"/>
      <c r="W23" s="389"/>
      <c r="AI23" s="387"/>
      <c r="AJ23" s="386"/>
    </row>
    <row r="24" spans="1:36">
      <c r="B24" s="222" t="s">
        <v>635</v>
      </c>
      <c r="C24" s="358"/>
      <c r="D24" s="388">
        <v>0.47</v>
      </c>
      <c r="E24" s="422">
        <f>$D24*E$23/$D$23</f>
        <v>235916599.61615959</v>
      </c>
      <c r="F24" s="422">
        <f>$D24*F$23/$D$23</f>
        <v>288707806.62500024</v>
      </c>
      <c r="G24" s="422">
        <f>$D24*G$23/$D$23</f>
        <v>212050400.23002508</v>
      </c>
      <c r="H24" s="422">
        <f>$D24*H$23/$D$23</f>
        <v>184188585.99763867</v>
      </c>
      <c r="I24" s="423">
        <f>$D24*I$23/$D$23</f>
        <v>167121243.61327606</v>
      </c>
      <c r="J24" s="386"/>
      <c r="K24" s="43"/>
      <c r="L24" s="43"/>
      <c r="M24" s="43"/>
      <c r="N24" s="43"/>
      <c r="O24" s="43"/>
      <c r="P24" s="43"/>
      <c r="Q24" s="43"/>
      <c r="R24" s="46"/>
      <c r="S24" s="43"/>
      <c r="T24" s="46"/>
      <c r="U24" s="46"/>
      <c r="V24" s="46"/>
      <c r="W24" s="389"/>
      <c r="AI24" s="387"/>
      <c r="AJ24" s="386"/>
    </row>
    <row r="25" spans="1:36">
      <c r="B25" s="222" t="s">
        <v>636</v>
      </c>
      <c r="C25" s="358"/>
      <c r="D25" s="388">
        <v>0.36</v>
      </c>
      <c r="E25" s="422">
        <f t="shared" ref="E25:I30" si="2">$D25*E$23/$D$23</f>
        <v>180702076.30173925</v>
      </c>
      <c r="F25" s="422">
        <f t="shared" si="2"/>
        <v>221137894.4361704</v>
      </c>
      <c r="G25" s="422">
        <f t="shared" si="2"/>
        <v>162421583.15491283</v>
      </c>
      <c r="H25" s="422">
        <f t="shared" si="2"/>
        <v>141080619.06202111</v>
      </c>
      <c r="I25" s="423">
        <f t="shared" si="2"/>
        <v>128007761.06548806</v>
      </c>
      <c r="J25" s="386"/>
      <c r="K25" s="390"/>
      <c r="R25" s="391"/>
      <c r="T25" s="391"/>
      <c r="U25" s="391"/>
      <c r="V25" s="391"/>
      <c r="W25" s="389"/>
      <c r="Y25" s="392"/>
      <c r="AI25" s="387"/>
      <c r="AJ25" s="386"/>
    </row>
    <row r="26" spans="1:36">
      <c r="B26" s="222" t="s">
        <v>637</v>
      </c>
      <c r="C26" s="358"/>
      <c r="D26" s="388">
        <v>0.68</v>
      </c>
      <c r="E26" s="422">
        <f t="shared" si="2"/>
        <v>341326144.12550753</v>
      </c>
      <c r="F26" s="422">
        <f t="shared" si="2"/>
        <v>417704911.71276635</v>
      </c>
      <c r="G26" s="422">
        <f t="shared" si="2"/>
        <v>306796323.73705757</v>
      </c>
      <c r="H26" s="422">
        <f t="shared" si="2"/>
        <v>266485613.78381768</v>
      </c>
      <c r="I26" s="423">
        <f t="shared" si="2"/>
        <v>241792437.56814414</v>
      </c>
      <c r="J26" s="386"/>
      <c r="K26" s="390"/>
      <c r="P26" s="391"/>
      <c r="Q26" s="391"/>
      <c r="R26" s="391"/>
      <c r="T26" s="391"/>
      <c r="U26" s="391"/>
      <c r="V26" s="391"/>
      <c r="W26" s="389"/>
      <c r="Y26" s="392"/>
      <c r="AI26" s="387"/>
      <c r="AJ26" s="386"/>
    </row>
    <row r="27" spans="1:36">
      <c r="B27" s="222" t="s">
        <v>638</v>
      </c>
      <c r="C27" s="358"/>
      <c r="D27" s="388">
        <v>0.11</v>
      </c>
      <c r="E27" s="422">
        <f t="shared" si="2"/>
        <v>55214523.314420328</v>
      </c>
      <c r="F27" s="422">
        <f t="shared" si="2"/>
        <v>67569912.188829854</v>
      </c>
      <c r="G27" s="422">
        <f t="shared" si="2"/>
        <v>49628817.075112253</v>
      </c>
      <c r="H27" s="422">
        <f t="shared" si="2"/>
        <v>43107966.935617566</v>
      </c>
      <c r="I27" s="423">
        <f t="shared" si="2"/>
        <v>39113482.547788024</v>
      </c>
      <c r="J27" s="386"/>
      <c r="K27" s="390"/>
      <c r="Q27" s="391"/>
      <c r="R27" s="391"/>
      <c r="T27" s="391"/>
      <c r="U27" s="391"/>
      <c r="V27" s="391"/>
      <c r="W27" s="389"/>
      <c r="Y27" s="392"/>
      <c r="AI27" s="387"/>
      <c r="AJ27" s="386"/>
    </row>
    <row r="28" spans="1:36">
      <c r="B28" s="222" t="s">
        <v>639</v>
      </c>
      <c r="C28" s="358"/>
      <c r="D28" s="388">
        <v>0.18</v>
      </c>
      <c r="E28" s="422">
        <f t="shared" si="2"/>
        <v>90351038.150869623</v>
      </c>
      <c r="F28" s="422">
        <f t="shared" si="2"/>
        <v>110568947.2180852</v>
      </c>
      <c r="G28" s="422">
        <f t="shared" si="2"/>
        <v>81210791.577456415</v>
      </c>
      <c r="H28" s="422">
        <f t="shared" si="2"/>
        <v>70540309.531010553</v>
      </c>
      <c r="I28" s="423">
        <f t="shared" si="2"/>
        <v>64003880.532744028</v>
      </c>
      <c r="J28" s="386"/>
      <c r="K28" s="43"/>
      <c r="L28" s="43"/>
      <c r="M28" s="43"/>
      <c r="N28" s="43"/>
      <c r="O28" s="43"/>
      <c r="P28" s="43"/>
      <c r="R28" s="391"/>
      <c r="T28" s="391"/>
      <c r="U28" s="391"/>
      <c r="V28" s="391"/>
      <c r="W28" s="389"/>
      <c r="Y28" s="392"/>
      <c r="AI28" s="387"/>
      <c r="AJ28" s="386"/>
    </row>
    <row r="29" spans="1:36">
      <c r="B29" s="222" t="s">
        <v>640</v>
      </c>
      <c r="C29" s="358"/>
      <c r="D29" s="388">
        <v>0.1</v>
      </c>
      <c r="E29" s="422">
        <f t="shared" si="2"/>
        <v>50195021.194927573</v>
      </c>
      <c r="F29" s="422">
        <f t="shared" si="2"/>
        <v>61427192.898936227</v>
      </c>
      <c r="G29" s="422">
        <f t="shared" si="2"/>
        <v>45117106.43192023</v>
      </c>
      <c r="H29" s="422">
        <f t="shared" si="2"/>
        <v>39189060.850561425</v>
      </c>
      <c r="I29" s="423">
        <f t="shared" si="2"/>
        <v>35557711.407080017</v>
      </c>
      <c r="J29" s="386"/>
      <c r="K29" s="393"/>
      <c r="P29" s="394"/>
      <c r="R29" s="391"/>
      <c r="T29" s="391"/>
      <c r="U29" s="391"/>
      <c r="V29" s="391"/>
      <c r="W29" s="389"/>
      <c r="Y29" s="392"/>
      <c r="AI29" s="387"/>
      <c r="AJ29" s="386"/>
    </row>
    <row r="30" spans="1:36">
      <c r="B30" s="222" t="s">
        <v>641</v>
      </c>
      <c r="C30" s="358"/>
      <c r="D30" s="388">
        <v>0.7</v>
      </c>
      <c r="E30" s="422">
        <f t="shared" si="2"/>
        <v>351365148.36449301</v>
      </c>
      <c r="F30" s="422">
        <f t="shared" si="2"/>
        <v>429990350.29255354</v>
      </c>
      <c r="G30" s="422">
        <f t="shared" si="2"/>
        <v>315819745.02344161</v>
      </c>
      <c r="H30" s="422">
        <f t="shared" si="2"/>
        <v>274323425.95392996</v>
      </c>
      <c r="I30" s="423">
        <f t="shared" si="2"/>
        <v>248903979.84956011</v>
      </c>
      <c r="J30" s="386"/>
      <c r="K30" s="354"/>
      <c r="P30" s="355"/>
      <c r="R30" s="391"/>
      <c r="T30" s="391"/>
      <c r="U30" s="391"/>
      <c r="V30" s="451"/>
      <c r="W30" s="389"/>
      <c r="Y30" s="392"/>
      <c r="AI30" s="387"/>
      <c r="AJ30" s="386"/>
    </row>
    <row r="31" spans="1:36">
      <c r="B31" s="343" t="s">
        <v>868</v>
      </c>
      <c r="C31" s="436"/>
      <c r="D31" s="437">
        <f t="shared" ref="D31:I31" si="3">SUBTOTAL(9,D32:D36)</f>
        <v>1.44</v>
      </c>
      <c r="E31" s="438">
        <f t="shared" si="3"/>
        <v>722808305.2069571</v>
      </c>
      <c r="F31" s="438">
        <f t="shared" si="3"/>
        <v>884551577.7446816</v>
      </c>
      <c r="G31" s="438">
        <f t="shared" si="3"/>
        <v>649686332.61965132</v>
      </c>
      <c r="H31" s="438">
        <f t="shared" si="3"/>
        <v>564322476.24808455</v>
      </c>
      <c r="I31" s="439">
        <f t="shared" si="3"/>
        <v>512031044.26195228</v>
      </c>
      <c r="J31" s="386"/>
      <c r="K31" s="354"/>
      <c r="P31" s="356"/>
      <c r="R31" s="391"/>
      <c r="T31" s="391"/>
      <c r="U31" s="391"/>
      <c r="V31" s="391"/>
      <c r="W31" s="389"/>
      <c r="Y31" s="392"/>
      <c r="AI31" s="387"/>
      <c r="AJ31" s="386"/>
    </row>
    <row r="32" spans="1:36">
      <c r="B32" s="222" t="s">
        <v>642</v>
      </c>
      <c r="C32" s="358"/>
      <c r="D32" s="388">
        <v>0.33</v>
      </c>
      <c r="E32" s="422">
        <f>$D32*E$23/$D$23</f>
        <v>165643569.943261</v>
      </c>
      <c r="F32" s="422">
        <f>$D32*F$23/$D$23</f>
        <v>202709736.56648955</v>
      </c>
      <c r="G32" s="422">
        <f>$D32*G$23/$D$23</f>
        <v>148886451.22533676</v>
      </c>
      <c r="H32" s="422">
        <f>$D32*H$23/$D$23</f>
        <v>129323900.8068527</v>
      </c>
      <c r="I32" s="423">
        <f>$D32*I$23/$D$23</f>
        <v>117340447.64336407</v>
      </c>
      <c r="J32" s="386"/>
      <c r="K32" s="354"/>
      <c r="Q32" s="43"/>
      <c r="R32" s="43"/>
      <c r="S32" s="43"/>
      <c r="T32" s="46"/>
      <c r="U32" s="46"/>
      <c r="V32" s="46"/>
      <c r="W32" s="389"/>
      <c r="AI32" s="387"/>
      <c r="AJ32" s="386"/>
    </row>
    <row r="33" spans="2:36">
      <c r="B33" s="222" t="s">
        <v>643</v>
      </c>
      <c r="C33" s="358"/>
      <c r="D33" s="388">
        <v>0.41</v>
      </c>
      <c r="E33" s="422">
        <f t="shared" ref="E33:I36" si="4">$D33*E$23/$D$23</f>
        <v>205799586.89920303</v>
      </c>
      <c r="F33" s="422">
        <f t="shared" si="4"/>
        <v>251851490.88563851</v>
      </c>
      <c r="G33" s="422">
        <f t="shared" si="4"/>
        <v>184980136.37087294</v>
      </c>
      <c r="H33" s="422">
        <f t="shared" si="4"/>
        <v>160675149.48730183</v>
      </c>
      <c r="I33" s="423">
        <f t="shared" si="4"/>
        <v>145786616.76902807</v>
      </c>
      <c r="J33" s="386"/>
      <c r="K33" s="354"/>
      <c r="P33" s="357"/>
      <c r="AI33" s="387"/>
      <c r="AJ33" s="386"/>
    </row>
    <row r="34" spans="2:36">
      <c r="B34" s="222" t="s">
        <v>644</v>
      </c>
      <c r="C34" s="358"/>
      <c r="D34" s="388">
        <v>0.04</v>
      </c>
      <c r="E34" s="422">
        <f t="shared" si="4"/>
        <v>20078008.477971029</v>
      </c>
      <c r="F34" s="422">
        <f t="shared" si="4"/>
        <v>24570877.15957449</v>
      </c>
      <c r="G34" s="422">
        <f t="shared" si="4"/>
        <v>18046842.572768092</v>
      </c>
      <c r="H34" s="422">
        <f t="shared" si="4"/>
        <v>15675624.34022457</v>
      </c>
      <c r="I34" s="423">
        <f t="shared" si="4"/>
        <v>14223084.562832007</v>
      </c>
      <c r="J34" s="386"/>
      <c r="K34" s="354"/>
      <c r="P34" s="395"/>
      <c r="AI34" s="387"/>
      <c r="AJ34" s="386"/>
    </row>
    <row r="35" spans="2:36">
      <c r="B35" s="222" t="s">
        <v>645</v>
      </c>
      <c r="C35" s="358"/>
      <c r="D35" s="388">
        <v>0.22</v>
      </c>
      <c r="E35" s="422">
        <f t="shared" si="4"/>
        <v>110429046.62884066</v>
      </c>
      <c r="F35" s="422">
        <f t="shared" si="4"/>
        <v>135139824.37765971</v>
      </c>
      <c r="G35" s="422">
        <f t="shared" si="4"/>
        <v>99257634.150224507</v>
      </c>
      <c r="H35" s="422">
        <f t="shared" si="4"/>
        <v>86215933.871235132</v>
      </c>
      <c r="I35" s="423">
        <f t="shared" si="4"/>
        <v>78226965.095576048</v>
      </c>
      <c r="J35" s="386"/>
      <c r="S35" s="391"/>
      <c r="AI35" s="387"/>
      <c r="AJ35" s="386"/>
    </row>
    <row r="36" spans="2:36">
      <c r="B36" s="222" t="s">
        <v>646</v>
      </c>
      <c r="C36" s="358"/>
      <c r="D36" s="388">
        <v>0.44</v>
      </c>
      <c r="E36" s="422">
        <f t="shared" si="4"/>
        <v>220858093.25768131</v>
      </c>
      <c r="F36" s="422">
        <f t="shared" si="4"/>
        <v>270279648.75531942</v>
      </c>
      <c r="G36" s="422">
        <f t="shared" si="4"/>
        <v>198515268.30044901</v>
      </c>
      <c r="H36" s="422">
        <f t="shared" si="4"/>
        <v>172431867.74247026</v>
      </c>
      <c r="I36" s="423">
        <f>$D36*I$23/$D$23</f>
        <v>156453930.1911521</v>
      </c>
      <c r="J36" s="386"/>
      <c r="AI36" s="387"/>
      <c r="AJ36" s="386"/>
    </row>
    <row r="37" spans="2:36">
      <c r="B37" s="362" t="s">
        <v>743</v>
      </c>
      <c r="C37" s="228"/>
      <c r="D37" s="228"/>
      <c r="E37" s="426">
        <f>E21*$E$15</f>
        <v>224718223.03888342</v>
      </c>
      <c r="F37" s="426">
        <f>F21*$E$15</f>
        <v>275003562.22402811</v>
      </c>
      <c r="G37" s="426">
        <f>G21*$E$15</f>
        <v>201984893.01687655</v>
      </c>
      <c r="H37" s="426">
        <f>H21*$E$15</f>
        <v>175445610.08753541</v>
      </c>
      <c r="I37" s="427">
        <f>I21*$E$15</f>
        <v>159188412.16737911</v>
      </c>
      <c r="J37" s="386"/>
      <c r="AI37" s="387"/>
      <c r="AJ37" s="386"/>
    </row>
    <row r="38" spans="2:36" ht="17.25" thickBot="1">
      <c r="B38" s="362"/>
      <c r="C38" s="228"/>
      <c r="D38" s="228"/>
      <c r="E38" s="426"/>
      <c r="F38" s="426"/>
      <c r="G38" s="426"/>
      <c r="H38" s="426"/>
      <c r="I38" s="427"/>
      <c r="J38" s="386"/>
      <c r="AI38" s="387"/>
      <c r="AJ38" s="386"/>
    </row>
    <row r="39" spans="2:36" ht="17.25" thickBot="1">
      <c r="B39" s="223" t="s">
        <v>884</v>
      </c>
      <c r="C39" s="228"/>
      <c r="D39" s="228"/>
      <c r="E39" s="426">
        <f>SUBTOTAL(9,E40:E54)</f>
        <v>1250272610.5606427</v>
      </c>
      <c r="F39" s="426">
        <f>SUBTOTAL(9,F40:F54)</f>
        <v>1503735186.8513894</v>
      </c>
      <c r="G39" s="426">
        <f>SUBTOTAL(9,G40:G54)</f>
        <v>1198796625.6556396</v>
      </c>
      <c r="H39" s="426">
        <f>SUBTOTAL(9,H40:H54)</f>
        <v>1004323953.2317829</v>
      </c>
      <c r="I39" s="427">
        <f>SUBTOTAL(9,I40:I54)</f>
        <v>856710612.66385853</v>
      </c>
      <c r="J39" s="386"/>
      <c r="K39" s="934" t="s">
        <v>871</v>
      </c>
      <c r="L39" s="935"/>
      <c r="M39" s="935"/>
      <c r="N39" s="935"/>
      <c r="O39" s="934" t="s">
        <v>873</v>
      </c>
      <c r="P39" s="935"/>
      <c r="Q39" s="935"/>
      <c r="R39" s="935"/>
      <c r="S39" s="935"/>
      <c r="T39" s="936"/>
      <c r="U39" s="348"/>
      <c r="V39" s="370" t="s">
        <v>714</v>
      </c>
      <c r="W39" s="370" t="s">
        <v>677</v>
      </c>
      <c r="X39" s="391"/>
      <c r="AI39" s="387"/>
      <c r="AJ39" s="386"/>
    </row>
    <row r="40" spans="2:36">
      <c r="B40" s="344" t="s">
        <v>869</v>
      </c>
      <c r="C40" s="436"/>
      <c r="D40" s="436"/>
      <c r="E40" s="438">
        <f>SUBTOTAL(9,E41:E48)</f>
        <v>1240175872.9394107</v>
      </c>
      <c r="F40" s="438">
        <f>SUBTOTAL(9,F41:F48)</f>
        <v>1491632385.1669199</v>
      </c>
      <c r="G40" s="438">
        <f>SUBTOTAL(9,G41:G48)</f>
        <v>1189606801.3065619</v>
      </c>
      <c r="H40" s="438">
        <f>SUBTOTAL(9,H41:H48)</f>
        <v>996192875.38254619</v>
      </c>
      <c r="I40" s="439">
        <f>SUBTOTAL(9,I41:I48)</f>
        <v>849228091.75292587</v>
      </c>
      <c r="J40" s="386"/>
      <c r="K40" s="332"/>
      <c r="L40" s="333" t="s">
        <v>872</v>
      </c>
      <c r="M40" s="333" t="s">
        <v>650</v>
      </c>
      <c r="N40" s="350" t="s">
        <v>663</v>
      </c>
      <c r="O40" s="347" t="s">
        <v>651</v>
      </c>
      <c r="P40" s="348" t="s">
        <v>773</v>
      </c>
      <c r="Q40" s="348" t="s">
        <v>774</v>
      </c>
      <c r="R40" s="348" t="s">
        <v>775</v>
      </c>
      <c r="S40" s="348" t="s">
        <v>776</v>
      </c>
      <c r="T40" s="349" t="s">
        <v>777</v>
      </c>
      <c r="U40" s="348"/>
      <c r="V40" s="370">
        <v>1</v>
      </c>
      <c r="W40" s="370">
        <v>0.45359237000000002</v>
      </c>
      <c r="AI40" s="387"/>
      <c r="AJ40" s="386"/>
    </row>
    <row r="41" spans="2:36">
      <c r="B41" s="222" t="s">
        <v>880</v>
      </c>
      <c r="C41" s="358"/>
      <c r="D41" s="358"/>
      <c r="E41" s="422">
        <f>P41*$L41*$N41</f>
        <v>303066278.36371672</v>
      </c>
      <c r="F41" s="422">
        <f>Q41*$L41*$N41</f>
        <v>303066278.36371672</v>
      </c>
      <c r="G41" s="422">
        <f t="shared" ref="F41:I48" si="5">R41*$L41*$N41</f>
        <v>303066278.36371672</v>
      </c>
      <c r="H41" s="422">
        <f t="shared" si="5"/>
        <v>303066278.36371672</v>
      </c>
      <c r="I41" s="423">
        <f t="shared" si="5"/>
        <v>303066278.36371672</v>
      </c>
      <c r="J41" s="386"/>
      <c r="K41" s="396" t="s">
        <v>880</v>
      </c>
      <c r="L41" s="370">
        <v>3.27</v>
      </c>
      <c r="M41" s="370" t="s">
        <v>680</v>
      </c>
      <c r="N41" s="397">
        <v>1</v>
      </c>
      <c r="O41" s="420" t="s">
        <v>681</v>
      </c>
      <c r="P41" s="391">
        <v>92680819.071473002</v>
      </c>
      <c r="Q41" s="391">
        <v>92680819.071473002</v>
      </c>
      <c r="R41" s="391">
        <f>327437.649716956/28.263682*8000</f>
        <v>92680819.071473002</v>
      </c>
      <c r="S41" s="391">
        <f>327437.649716956/28.263682*8000</f>
        <v>92680819.071473002</v>
      </c>
      <c r="T41" s="446">
        <f>327437.649716956/28.263682*8000</f>
        <v>92680819.071473002</v>
      </c>
      <c r="U41" s="391"/>
      <c r="V41" s="398" t="s">
        <v>687</v>
      </c>
      <c r="AI41" s="387"/>
      <c r="AJ41" s="386"/>
    </row>
    <row r="42" spans="2:36">
      <c r="B42" s="222" t="s">
        <v>870</v>
      </c>
      <c r="C42" s="358"/>
      <c r="D42" s="358"/>
      <c r="E42" s="422">
        <f t="shared" ref="E42:E48" si="6">P42*$L42*$N42</f>
        <v>143265609.75522712</v>
      </c>
      <c r="F42" s="422">
        <f t="shared" si="5"/>
        <v>243100096.25026989</v>
      </c>
      <c r="G42" s="422">
        <f>R42*$L42*$N42</f>
        <v>187104088.90434361</v>
      </c>
      <c r="H42" s="422">
        <f t="shared" si="5"/>
        <v>156130685.60420069</v>
      </c>
      <c r="I42" s="423">
        <f t="shared" si="5"/>
        <v>136392638.43295923</v>
      </c>
      <c r="J42" s="386"/>
      <c r="K42" s="396" t="s">
        <v>870</v>
      </c>
      <c r="L42" s="370">
        <f>L41</f>
        <v>3.27</v>
      </c>
      <c r="M42" s="370" t="s">
        <v>680</v>
      </c>
      <c r="N42" s="397">
        <v>1</v>
      </c>
      <c r="O42" s="420" t="s">
        <v>681</v>
      </c>
      <c r="P42" s="391">
        <v>43812113.074992999</v>
      </c>
      <c r="Q42" s="391">
        <f>262649.228386354/28.263682*8000</f>
        <v>74342537.079593241</v>
      </c>
      <c r="R42" s="391">
        <f>202150.247312389/28.263682*8000</f>
        <v>57218375.811725877</v>
      </c>
      <c r="S42" s="391">
        <f>168686.087475501/28.263682*8000</f>
        <v>47746387.034923762</v>
      </c>
      <c r="T42" s="446">
        <f>147360.785925464/28.263682*8000</f>
        <v>41710286.982556343</v>
      </c>
      <c r="U42" s="391"/>
      <c r="V42" s="183" t="s">
        <v>711</v>
      </c>
      <c r="AI42" s="387"/>
      <c r="AJ42" s="386"/>
    </row>
    <row r="43" spans="2:36">
      <c r="B43" s="222" t="s">
        <v>167</v>
      </c>
      <c r="C43" s="358"/>
      <c r="D43" s="358"/>
      <c r="E43" s="422">
        <f t="shared" si="6"/>
        <v>14335462.4</v>
      </c>
      <c r="F43" s="422">
        <f t="shared" si="5"/>
        <v>220960613.79773313</v>
      </c>
      <c r="G43" s="422">
        <f t="shared" si="5"/>
        <v>170065896.88234177</v>
      </c>
      <c r="H43" s="422">
        <f t="shared" si="5"/>
        <v>141914200.58141279</v>
      </c>
      <c r="I43" s="423">
        <f t="shared" si="5"/>
        <v>123974308.59880991</v>
      </c>
      <c r="J43" s="386"/>
      <c r="K43" s="396" t="s">
        <v>167</v>
      </c>
      <c r="L43" s="370">
        <v>40</v>
      </c>
      <c r="M43" s="370" t="s">
        <v>666</v>
      </c>
      <c r="N43" s="397">
        <v>1</v>
      </c>
      <c r="O43" s="420" t="s">
        <v>671</v>
      </c>
      <c r="P43" s="391">
        <v>358386.56</v>
      </c>
      <c r="Q43" s="391">
        <f>690501.918117916/1000*8000</f>
        <v>5524015.3449433278</v>
      </c>
      <c r="R43" s="391">
        <f>531455.927757318/1000*8000</f>
        <v>4251647.4220585441</v>
      </c>
      <c r="S43" s="391">
        <f>443481.876816915/1000*8000</f>
        <v>3547855.01453532</v>
      </c>
      <c r="T43" s="446">
        <f>387419.714371281/1000*8000</f>
        <v>3099357.7149702478</v>
      </c>
      <c r="U43" s="391"/>
      <c r="AI43" s="387"/>
      <c r="AJ43" s="386"/>
    </row>
    <row r="44" spans="2:36">
      <c r="B44" s="222" t="s">
        <v>782</v>
      </c>
      <c r="C44" s="358"/>
      <c r="D44" s="358"/>
      <c r="E44" s="422">
        <f t="shared" si="6"/>
        <v>101884143.59999999</v>
      </c>
      <c r="F44" s="422">
        <f t="shared" si="5"/>
        <v>100075606.56</v>
      </c>
      <c r="G44" s="422">
        <f>R44*$L44*$N44</f>
        <v>70529291.640000001</v>
      </c>
      <c r="H44" s="422">
        <f t="shared" si="5"/>
        <v>53760233.879999995</v>
      </c>
      <c r="I44" s="423">
        <f t="shared" si="5"/>
        <v>44886791.879999995</v>
      </c>
      <c r="J44" s="386"/>
      <c r="K44" s="396" t="s">
        <v>782</v>
      </c>
      <c r="L44" s="370">
        <v>0.03</v>
      </c>
      <c r="M44" s="370" t="s">
        <v>666</v>
      </c>
      <c r="N44" s="397">
        <v>1</v>
      </c>
      <c r="O44" s="420" t="s">
        <v>671</v>
      </c>
      <c r="P44" s="391">
        <v>3396138120</v>
      </c>
      <c r="Q44" s="391">
        <v>3335853552</v>
      </c>
      <c r="R44" s="391">
        <v>2350976388</v>
      </c>
      <c r="S44" s="391">
        <v>1792007796</v>
      </c>
      <c r="T44" s="446">
        <v>1496226396</v>
      </c>
      <c r="U44" s="391"/>
      <c r="AI44" s="387"/>
      <c r="AJ44" s="386"/>
    </row>
    <row r="45" spans="2:36">
      <c r="B45" s="222" t="s">
        <v>183</v>
      </c>
      <c r="C45" s="358"/>
      <c r="D45" s="358"/>
      <c r="E45" s="422">
        <f t="shared" si="6"/>
        <v>578820085.27200007</v>
      </c>
      <c r="F45" s="422">
        <f>Q45*$L45*$N45</f>
        <v>569343795.84000003</v>
      </c>
      <c r="G45" s="422">
        <f t="shared" si="5"/>
        <v>413724673.44000006</v>
      </c>
      <c r="H45" s="422">
        <f t="shared" si="5"/>
        <v>299483095.68000001</v>
      </c>
      <c r="I45" s="423">
        <f t="shared" si="5"/>
        <v>192992856.48000002</v>
      </c>
      <c r="J45" s="386"/>
      <c r="K45" s="396" t="s">
        <v>183</v>
      </c>
      <c r="L45" s="370">
        <v>6.9000000000000006E-2</v>
      </c>
      <c r="M45" s="370" t="s">
        <v>665</v>
      </c>
      <c r="N45" s="397">
        <v>1</v>
      </c>
      <c r="O45" s="420" t="s">
        <v>657</v>
      </c>
      <c r="P45" s="391">
        <v>8388696888</v>
      </c>
      <c r="Q45" s="391">
        <v>8251359360</v>
      </c>
      <c r="R45" s="391">
        <v>5996009760</v>
      </c>
      <c r="S45" s="391">
        <v>4340334720</v>
      </c>
      <c r="T45" s="446">
        <v>2796997920</v>
      </c>
      <c r="U45" s="391"/>
      <c r="AI45" s="387"/>
      <c r="AJ45" s="386"/>
    </row>
    <row r="46" spans="2:36">
      <c r="B46" s="222" t="s">
        <v>186</v>
      </c>
      <c r="C46" s="358"/>
      <c r="D46" s="358"/>
      <c r="E46" s="422">
        <f t="shared" si="6"/>
        <v>572343.22860000003</v>
      </c>
      <c r="F46" s="422">
        <f t="shared" si="5"/>
        <v>0</v>
      </c>
      <c r="G46" s="422">
        <f t="shared" si="5"/>
        <v>0</v>
      </c>
      <c r="H46" s="422">
        <f t="shared" si="5"/>
        <v>0</v>
      </c>
      <c r="I46" s="423">
        <f t="shared" si="5"/>
        <v>0</v>
      </c>
      <c r="J46" s="386"/>
      <c r="K46" s="396" t="s">
        <v>186</v>
      </c>
      <c r="L46" s="370">
        <v>14.5</v>
      </c>
      <c r="M46" s="370" t="s">
        <v>666</v>
      </c>
      <c r="N46" s="397">
        <v>1</v>
      </c>
      <c r="O46" s="420" t="s">
        <v>671</v>
      </c>
      <c r="P46" s="391">
        <v>39471.946800000005</v>
      </c>
      <c r="Q46" s="440">
        <v>0</v>
      </c>
      <c r="R46" s="440">
        <v>0</v>
      </c>
      <c r="S46" s="440">
        <v>0</v>
      </c>
      <c r="T46" s="448">
        <v>0</v>
      </c>
      <c r="U46" s="440"/>
      <c r="AI46" s="387"/>
      <c r="AJ46" s="386"/>
    </row>
    <row r="47" spans="2:36">
      <c r="B47" s="222" t="s">
        <v>188</v>
      </c>
      <c r="C47" s="358"/>
      <c r="D47" s="358"/>
      <c r="E47" s="422">
        <f t="shared" si="6"/>
        <v>12053565.09</v>
      </c>
      <c r="F47" s="422">
        <f t="shared" si="5"/>
        <v>0</v>
      </c>
      <c r="G47" s="422">
        <f t="shared" si="5"/>
        <v>0</v>
      </c>
      <c r="H47" s="422">
        <f t="shared" si="5"/>
        <v>0</v>
      </c>
      <c r="I47" s="423">
        <f t="shared" si="5"/>
        <v>0</v>
      </c>
      <c r="J47" s="386"/>
      <c r="K47" s="396" t="s">
        <v>188</v>
      </c>
      <c r="L47" s="370">
        <v>10.5</v>
      </c>
      <c r="M47" s="370" t="s">
        <v>666</v>
      </c>
      <c r="N47" s="397">
        <v>1</v>
      </c>
      <c r="O47" s="420" t="s">
        <v>671</v>
      </c>
      <c r="P47" s="391">
        <v>1147958.58</v>
      </c>
      <c r="Q47" s="440">
        <v>0</v>
      </c>
      <c r="R47" s="440">
        <v>0</v>
      </c>
      <c r="S47" s="440">
        <v>0</v>
      </c>
      <c r="T47" s="448">
        <v>0</v>
      </c>
      <c r="U47" s="440"/>
      <c r="AI47" s="387"/>
      <c r="AJ47" s="386"/>
    </row>
    <row r="48" spans="2:36" ht="17.25" thickBot="1">
      <c r="B48" s="222" t="s">
        <v>596</v>
      </c>
      <c r="C48" s="358"/>
      <c r="D48" s="358"/>
      <c r="E48" s="422">
        <f t="shared" si="6"/>
        <v>86178385.229866669</v>
      </c>
      <c r="F48" s="422">
        <f t="shared" si="5"/>
        <v>55085994.3552</v>
      </c>
      <c r="G48" s="422">
        <f t="shared" si="5"/>
        <v>45116572.076159999</v>
      </c>
      <c r="H48" s="422">
        <f t="shared" si="5"/>
        <v>41838381.273216002</v>
      </c>
      <c r="I48" s="423">
        <f t="shared" si="5"/>
        <v>47915217.997440003</v>
      </c>
      <c r="J48" s="386"/>
      <c r="K48" s="399" t="s">
        <v>596</v>
      </c>
      <c r="L48" s="400">
        <v>3.2000000000000001E-2</v>
      </c>
      <c r="M48" s="400" t="s">
        <v>665</v>
      </c>
      <c r="N48" s="401">
        <v>1</v>
      </c>
      <c r="O48" s="421" t="s">
        <v>657</v>
      </c>
      <c r="P48" s="402">
        <v>2693074538.4333334</v>
      </c>
      <c r="Q48" s="402">
        <v>1721437323.5999999</v>
      </c>
      <c r="R48" s="402">
        <v>1409892877.3799999</v>
      </c>
      <c r="S48" s="402">
        <v>1307449414.7880001</v>
      </c>
      <c r="T48" s="447">
        <v>1497350562.4200001</v>
      </c>
      <c r="U48" s="391"/>
      <c r="AI48" s="387"/>
      <c r="AJ48" s="386"/>
    </row>
    <row r="49" spans="2:36">
      <c r="B49" s="345" t="s">
        <v>660</v>
      </c>
      <c r="C49" s="436"/>
      <c r="D49" s="436"/>
      <c r="E49" s="438">
        <f>SUBTOTAL(9,E50:E54)</f>
        <v>10096737.621232051</v>
      </c>
      <c r="F49" s="438">
        <f>SUBTOTAL(9,F50:F54)</f>
        <v>12102801.684469206</v>
      </c>
      <c r="G49" s="438">
        <f>SUBTOTAL(9,G50:G54)</f>
        <v>9189824.3490775209</v>
      </c>
      <c r="H49" s="438">
        <f>SUBTOTAL(9,H50:H54)</f>
        <v>8131077.8492367845</v>
      </c>
      <c r="I49" s="439">
        <f>SUBTOTAL(9,I50:I54)</f>
        <v>7482520.9109326778</v>
      </c>
      <c r="J49" s="386"/>
      <c r="AH49" s="390"/>
      <c r="AI49" s="387"/>
      <c r="AJ49" s="386"/>
    </row>
    <row r="50" spans="2:36">
      <c r="B50" s="361" t="s">
        <v>613</v>
      </c>
      <c r="C50" s="358"/>
      <c r="D50" s="358"/>
      <c r="E50" s="422">
        <v>760000</v>
      </c>
      <c r="F50" s="422">
        <v>760000</v>
      </c>
      <c r="G50" s="422">
        <v>760001</v>
      </c>
      <c r="H50" s="422">
        <v>760002</v>
      </c>
      <c r="I50" s="423">
        <v>760003</v>
      </c>
      <c r="J50" s="386"/>
      <c r="N50" s="370" t="s">
        <v>880</v>
      </c>
      <c r="P50" s="435">
        <f>E41/E$39</f>
        <v>0.24240015801659195</v>
      </c>
      <c r="Q50" s="435">
        <f t="shared" ref="Q50:T58" si="7">F41/F$39</f>
        <v>0.20154232009313755</v>
      </c>
      <c r="R50" s="435">
        <f t="shared" si="7"/>
        <v>0.25280875160785948</v>
      </c>
      <c r="S50" s="435">
        <f t="shared" si="7"/>
        <v>0.30176147585496604</v>
      </c>
      <c r="T50" s="435">
        <f t="shared" si="7"/>
        <v>0.35375571853996479</v>
      </c>
      <c r="AH50" s="390"/>
      <c r="AI50" s="387"/>
      <c r="AJ50" s="386"/>
    </row>
    <row r="51" spans="2:36">
      <c r="B51" s="361" t="s">
        <v>614</v>
      </c>
      <c r="C51" s="358"/>
      <c r="D51" s="358"/>
      <c r="E51" s="422">
        <f>0.03*E75</f>
        <v>6741546.6911665024</v>
      </c>
      <c r="F51" s="422">
        <f>0.03*F75</f>
        <v>8250106.8667208431</v>
      </c>
      <c r="G51" s="422">
        <f>0.03*G75</f>
        <v>6059546.7905062959</v>
      </c>
      <c r="H51" s="422">
        <f>0.03*H75</f>
        <v>5263368.3026260622</v>
      </c>
      <c r="I51" s="423">
        <f>0.03*I75</f>
        <v>4775652.3650213731</v>
      </c>
      <c r="J51" s="386"/>
      <c r="N51" s="370" t="s">
        <v>870</v>
      </c>
      <c r="P51" s="435">
        <f t="shared" ref="P51:P58" si="8">E42/E$39</f>
        <v>0.11458749759461216</v>
      </c>
      <c r="Q51" s="435">
        <f t="shared" si="7"/>
        <v>0.1616641669197669</v>
      </c>
      <c r="R51" s="435">
        <f t="shared" si="7"/>
        <v>0.15607658955664278</v>
      </c>
      <c r="S51" s="435">
        <f t="shared" si="7"/>
        <v>0.15545849036239015</v>
      </c>
      <c r="T51" s="435">
        <f t="shared" si="7"/>
        <v>0.15920502958269603</v>
      </c>
      <c r="AH51" s="390"/>
      <c r="AI51" s="387"/>
      <c r="AJ51" s="386"/>
    </row>
    <row r="52" spans="2:36">
      <c r="B52" s="361" t="s">
        <v>615</v>
      </c>
      <c r="C52" s="358"/>
      <c r="D52" s="358"/>
      <c r="E52" s="422">
        <f>0.15*E50</f>
        <v>114000</v>
      </c>
      <c r="F52" s="422">
        <f>0.15*F50</f>
        <v>114000</v>
      </c>
      <c r="G52" s="422">
        <f>0.15*G50</f>
        <v>114000.15</v>
      </c>
      <c r="H52" s="422">
        <f>0.15*H50</f>
        <v>114000.3</v>
      </c>
      <c r="I52" s="423">
        <f>0.15*I50</f>
        <v>114000.45</v>
      </c>
      <c r="J52" s="386"/>
      <c r="N52" s="370" t="s">
        <v>167</v>
      </c>
      <c r="P52" s="435">
        <f t="shared" si="8"/>
        <v>1.146586934634339E-2</v>
      </c>
      <c r="Q52" s="435">
        <f t="shared" si="7"/>
        <v>0.14694117403769322</v>
      </c>
      <c r="R52" s="435">
        <f t="shared" si="7"/>
        <v>0.14186384349332834</v>
      </c>
      <c r="S52" s="435">
        <f t="shared" si="7"/>
        <v>0.14130321210078828</v>
      </c>
      <c r="T52" s="435">
        <f t="shared" si="7"/>
        <v>0.14470966831299525</v>
      </c>
      <c r="V52" s="371"/>
      <c r="AH52" s="390"/>
      <c r="AI52" s="387"/>
      <c r="AJ52" s="386"/>
    </row>
    <row r="53" spans="2:36">
      <c r="B53" s="361" t="s">
        <v>616</v>
      </c>
      <c r="C53" s="358"/>
      <c r="D53" s="358"/>
      <c r="E53" s="422">
        <f>0.25*(E50+E51)</f>
        <v>1875386.6727916256</v>
      </c>
      <c r="F53" s="422">
        <f>0.25*(F50+F51)</f>
        <v>2252526.716680211</v>
      </c>
      <c r="G53" s="422">
        <f>0.25*(G50+G51)</f>
        <v>1704886.947626574</v>
      </c>
      <c r="H53" s="422">
        <f>0.25*(H50+H51)</f>
        <v>1505842.5756565155</v>
      </c>
      <c r="I53" s="423">
        <f>0.25*(I50+I51)</f>
        <v>1383913.8412553433</v>
      </c>
      <c r="J53" s="386"/>
      <c r="N53" s="370" t="s">
        <v>782</v>
      </c>
      <c r="P53" s="435">
        <f t="shared" si="8"/>
        <v>8.1489542952007457E-2</v>
      </c>
      <c r="Q53" s="435">
        <f t="shared" si="7"/>
        <v>6.6551349888635841E-2</v>
      </c>
      <c r="R53" s="435">
        <f t="shared" si="7"/>
        <v>5.8833408545362301E-2</v>
      </c>
      <c r="S53" s="435">
        <f>H44/H$39</f>
        <v>5.3528777947600081E-2</v>
      </c>
      <c r="T53" s="435">
        <f t="shared" si="7"/>
        <v>5.2394345554362717E-2</v>
      </c>
      <c r="V53" s="403"/>
      <c r="AH53" s="390"/>
      <c r="AI53" s="387"/>
      <c r="AJ53" s="386"/>
    </row>
    <row r="54" spans="2:36">
      <c r="B54" s="361" t="s">
        <v>617</v>
      </c>
      <c r="C54" s="358"/>
      <c r="D54" s="358"/>
      <c r="E54" s="434">
        <f>SUM(E50:E53)/0.94*0.06</f>
        <v>605804.25727392302</v>
      </c>
      <c r="F54" s="434">
        <f>SUM(F50:F53)/0.94*0.06</f>
        <v>726168.10106815246</v>
      </c>
      <c r="G54" s="434">
        <f>SUM(G50:G53)/0.94*0.06</f>
        <v>551389.46094465139</v>
      </c>
      <c r="H54" s="434">
        <f>SUM(H50:H53)/0.94*0.06</f>
        <v>487864.67095420713</v>
      </c>
      <c r="I54" s="452">
        <f>SUM(I50:I53)/0.94*0.06</f>
        <v>448951.25465596066</v>
      </c>
      <c r="J54" s="386"/>
      <c r="N54" s="370" t="s">
        <v>183</v>
      </c>
      <c r="P54" s="435">
        <f t="shared" si="8"/>
        <v>0.46295510305744253</v>
      </c>
      <c r="Q54" s="435">
        <f t="shared" si="7"/>
        <v>0.37861972029272395</v>
      </c>
      <c r="R54" s="435">
        <f t="shared" si="7"/>
        <v>0.34511664830031358</v>
      </c>
      <c r="S54" s="435">
        <f t="shared" si="7"/>
        <v>0.29819371998079169</v>
      </c>
      <c r="T54" s="435">
        <f t="shared" si="7"/>
        <v>0.22527193386796909</v>
      </c>
      <c r="V54" s="403"/>
      <c r="AH54" s="390"/>
      <c r="AI54" s="387"/>
      <c r="AJ54" s="386"/>
    </row>
    <row r="55" spans="2:36">
      <c r="B55" s="362"/>
      <c r="C55" s="358"/>
      <c r="D55" s="456"/>
      <c r="E55" s="422"/>
      <c r="F55" s="422"/>
      <c r="G55" s="422"/>
      <c r="H55" s="422"/>
      <c r="I55" s="423"/>
      <c r="J55" s="386"/>
      <c r="N55" s="370" t="s">
        <v>186</v>
      </c>
      <c r="P55" s="435">
        <f t="shared" si="8"/>
        <v>4.5777474749554976E-4</v>
      </c>
      <c r="Q55" s="435">
        <f t="shared" si="7"/>
        <v>0</v>
      </c>
      <c r="R55" s="435">
        <f t="shared" si="7"/>
        <v>0</v>
      </c>
      <c r="S55" s="435">
        <f t="shared" si="7"/>
        <v>0</v>
      </c>
      <c r="T55" s="435">
        <f t="shared" si="7"/>
        <v>0</v>
      </c>
      <c r="V55" s="403"/>
      <c r="AH55" s="390"/>
      <c r="AI55" s="387"/>
      <c r="AJ55" s="386"/>
    </row>
    <row r="56" spans="2:36">
      <c r="B56" s="481" t="s">
        <v>878</v>
      </c>
      <c r="C56" s="482"/>
      <c r="D56" s="483"/>
      <c r="E56" s="484"/>
      <c r="F56" s="484"/>
      <c r="G56" s="484"/>
      <c r="H56" s="484"/>
      <c r="I56" s="485"/>
      <c r="J56" s="386"/>
      <c r="N56" s="370" t="s">
        <v>188</v>
      </c>
      <c r="P56" s="435">
        <f t="shared" si="8"/>
        <v>9.6407495358912035E-3</v>
      </c>
      <c r="Q56" s="435">
        <f t="shared" si="7"/>
        <v>0</v>
      </c>
      <c r="R56" s="435">
        <f t="shared" si="7"/>
        <v>0</v>
      </c>
      <c r="S56" s="435">
        <f t="shared" si="7"/>
        <v>0</v>
      </c>
      <c r="T56" s="435">
        <f t="shared" si="7"/>
        <v>0</v>
      </c>
      <c r="V56" s="403"/>
      <c r="AH56" s="390"/>
      <c r="AI56" s="387"/>
      <c r="AJ56" s="386"/>
    </row>
    <row r="57" spans="2:36">
      <c r="B57" s="486" t="s">
        <v>622</v>
      </c>
      <c r="C57" s="482"/>
      <c r="D57" s="483" t="s">
        <v>885</v>
      </c>
      <c r="E57" s="484">
        <f t="shared" ref="E57:E62" si="9">P65</f>
        <v>486941333.18155122</v>
      </c>
      <c r="F57" s="484">
        <f t="shared" ref="F57:I62" si="10">Q65</f>
        <v>997046112.50216806</v>
      </c>
      <c r="G57" s="484">
        <f t="shared" si="10"/>
        <v>952570155.94539201</v>
      </c>
      <c r="H57" s="484">
        <f t="shared" si="10"/>
        <v>923200997.150352</v>
      </c>
      <c r="I57" s="485">
        <f t="shared" si="10"/>
        <v>856019683.31884801</v>
      </c>
      <c r="J57" s="386"/>
      <c r="N57" s="370" t="s">
        <v>596</v>
      </c>
      <c r="P57" s="435">
        <f t="shared" si="8"/>
        <v>6.8927675854006651E-2</v>
      </c>
      <c r="Q57" s="435">
        <f t="shared" si="7"/>
        <v>3.6632776061151E-2</v>
      </c>
      <c r="R57" s="435">
        <f t="shared" si="7"/>
        <v>3.7634884108457577E-2</v>
      </c>
      <c r="S57" s="435">
        <f t="shared" si="7"/>
        <v>4.1658252935803802E-2</v>
      </c>
      <c r="T57" s="435">
        <f t="shared" si="7"/>
        <v>5.5929291979297746E-2</v>
      </c>
      <c r="V57" s="403"/>
      <c r="AH57" s="390"/>
      <c r="AI57" s="387"/>
      <c r="AJ57" s="386"/>
    </row>
    <row r="58" spans="2:36">
      <c r="B58" s="486" t="s">
        <v>629</v>
      </c>
      <c r="C58" s="482"/>
      <c r="D58" s="483" t="s">
        <v>885</v>
      </c>
      <c r="E58" s="484">
        <f t="shared" si="9"/>
        <v>350360698.92458081</v>
      </c>
      <c r="F58" s="484">
        <f t="shared" si="10"/>
        <v>274742808.03413355</v>
      </c>
      <c r="G58" s="484">
        <f t="shared" si="10"/>
        <v>293203629.84802163</v>
      </c>
      <c r="H58" s="484">
        <f t="shared" si="10"/>
        <v>301018058.82789356</v>
      </c>
      <c r="I58" s="485">
        <f t="shared" si="10"/>
        <v>310243137.77360719</v>
      </c>
      <c r="J58" s="386"/>
      <c r="N58" s="370" t="s">
        <v>660</v>
      </c>
      <c r="P58" s="435">
        <f t="shared" si="8"/>
        <v>8.0756288956090223E-3</v>
      </c>
      <c r="Q58" s="435">
        <f t="shared" si="7"/>
        <v>8.0484927068912825E-3</v>
      </c>
      <c r="R58" s="435">
        <f t="shared" si="7"/>
        <v>7.6658743880359771E-3</v>
      </c>
      <c r="S58" s="435">
        <f t="shared" si="7"/>
        <v>8.0960708176600199E-3</v>
      </c>
      <c r="T58" s="435">
        <f t="shared" si="7"/>
        <v>8.7340121627144367E-3</v>
      </c>
      <c r="V58" s="403"/>
      <c r="AH58" s="390"/>
      <c r="AI58" s="387"/>
      <c r="AJ58" s="386"/>
    </row>
    <row r="59" spans="2:36">
      <c r="B59" s="486" t="s">
        <v>688</v>
      </c>
      <c r="C59" s="482"/>
      <c r="D59" s="483" t="s">
        <v>885</v>
      </c>
      <c r="E59" s="484">
        <f t="shared" si="9"/>
        <v>34503790.170814559</v>
      </c>
      <c r="F59" s="484">
        <f t="shared" si="10"/>
        <v>12756500.94973344</v>
      </c>
      <c r="G59" s="484">
        <f t="shared" si="10"/>
        <v>21305721.19333088</v>
      </c>
      <c r="H59" s="484">
        <f t="shared" si="10"/>
        <v>32966567.283104081</v>
      </c>
      <c r="I59" s="485">
        <f t="shared" si="10"/>
        <v>47398147.368275195</v>
      </c>
      <c r="J59" s="386"/>
      <c r="V59" s="403"/>
      <c r="AH59" s="390"/>
      <c r="AI59" s="387"/>
      <c r="AJ59" s="386"/>
    </row>
    <row r="60" spans="2:36">
      <c r="B60" s="486" t="s">
        <v>625</v>
      </c>
      <c r="C60" s="482"/>
      <c r="D60" s="483" t="s">
        <v>885</v>
      </c>
      <c r="E60" s="484">
        <f t="shared" si="9"/>
        <v>91327938.858144805</v>
      </c>
      <c r="F60" s="484">
        <f t="shared" si="10"/>
        <v>105285509.78652319</v>
      </c>
      <c r="G60" s="484">
        <f t="shared" si="10"/>
        <v>141676645.05160642</v>
      </c>
      <c r="H60" s="484">
        <f t="shared" si="10"/>
        <v>186778107.3628872</v>
      </c>
      <c r="I60" s="485">
        <f t="shared" si="10"/>
        <v>234034332.75227839</v>
      </c>
      <c r="J60" s="386"/>
      <c r="V60" s="403"/>
      <c r="AH60" s="390"/>
      <c r="AI60" s="387"/>
      <c r="AJ60" s="386"/>
    </row>
    <row r="61" spans="2:36">
      <c r="B61" s="486" t="s">
        <v>779</v>
      </c>
      <c r="C61" s="482"/>
      <c r="D61" s="483" t="s">
        <v>885</v>
      </c>
      <c r="E61" s="484">
        <f t="shared" si="9"/>
        <v>0</v>
      </c>
      <c r="F61" s="484">
        <f>Q69</f>
        <v>113426087.74099919</v>
      </c>
      <c r="G61" s="484">
        <f t="shared" si="10"/>
        <v>88112436.039074391</v>
      </c>
      <c r="H61" s="484">
        <f t="shared" si="10"/>
        <v>78865736.344982401</v>
      </c>
      <c r="I61" s="485">
        <f t="shared" si="10"/>
        <v>85277184.858068794</v>
      </c>
      <c r="J61" s="386"/>
      <c r="V61" s="403"/>
      <c r="AH61" s="390"/>
      <c r="AI61" s="387"/>
      <c r="AJ61" s="386"/>
    </row>
    <row r="62" spans="2:36" ht="17.25" thickBot="1">
      <c r="B62" s="487" t="s">
        <v>719</v>
      </c>
      <c r="C62" s="488"/>
      <c r="D62" s="489" t="s">
        <v>885</v>
      </c>
      <c r="E62" s="490">
        <f t="shared" si="9"/>
        <v>566371776.27786875</v>
      </c>
      <c r="F62" s="490">
        <f t="shared" si="10"/>
        <v>0</v>
      </c>
      <c r="G62" s="490">
        <f t="shared" si="10"/>
        <v>0</v>
      </c>
      <c r="H62" s="490">
        <f t="shared" si="10"/>
        <v>0</v>
      </c>
      <c r="I62" s="491">
        <f t="shared" si="10"/>
        <v>0</v>
      </c>
      <c r="J62" s="386"/>
      <c r="V62" s="403"/>
      <c r="AH62" s="390"/>
      <c r="AI62" s="387"/>
      <c r="AJ62" s="386"/>
    </row>
    <row r="63" spans="2:36" ht="17.25" thickBot="1">
      <c r="B63" s="459"/>
      <c r="C63" s="460"/>
      <c r="D63" s="461"/>
      <c r="E63" s="462"/>
      <c r="F63" s="462"/>
      <c r="G63" s="462"/>
      <c r="H63" s="462"/>
      <c r="I63" s="463"/>
      <c r="J63" s="386"/>
      <c r="V63" s="403"/>
      <c r="AH63" s="390"/>
      <c r="AI63" s="387"/>
      <c r="AJ63" s="386"/>
    </row>
    <row r="64" spans="2:36" ht="17.25" thickBot="1">
      <c r="B64" s="464" t="s">
        <v>890</v>
      </c>
      <c r="C64" s="473"/>
      <c r="D64" s="473"/>
      <c r="E64" s="465">
        <f>E39+E37</f>
        <v>1474990833.5995262</v>
      </c>
      <c r="F64" s="465">
        <f>F39+F37</f>
        <v>1778738749.0754175</v>
      </c>
      <c r="G64" s="465">
        <f>G39+G37</f>
        <v>1400781518.6725161</v>
      </c>
      <c r="H64" s="465">
        <f>H39+H37</f>
        <v>1179769563.3193183</v>
      </c>
      <c r="I64" s="466">
        <f>I39+I37</f>
        <v>1015899024.8312377</v>
      </c>
      <c r="J64" s="386"/>
      <c r="K64" s="332" t="s">
        <v>877</v>
      </c>
      <c r="L64" s="333" t="s">
        <v>872</v>
      </c>
      <c r="M64" s="333" t="s">
        <v>650</v>
      </c>
      <c r="N64" s="350" t="s">
        <v>663</v>
      </c>
      <c r="O64" s="332" t="s">
        <v>651</v>
      </c>
      <c r="P64" s="333" t="s">
        <v>773</v>
      </c>
      <c r="Q64" s="333" t="s">
        <v>774</v>
      </c>
      <c r="R64" s="333" t="s">
        <v>775</v>
      </c>
      <c r="S64" s="333" t="s">
        <v>776</v>
      </c>
      <c r="T64" s="334" t="s">
        <v>777</v>
      </c>
      <c r="V64" s="412" t="s">
        <v>702</v>
      </c>
      <c r="AH64" s="390"/>
      <c r="AI64" s="387"/>
      <c r="AJ64" s="386"/>
    </row>
    <row r="65" spans="2:36">
      <c r="B65" s="467" t="s">
        <v>622</v>
      </c>
      <c r="C65" s="468"/>
      <c r="D65" s="469" t="s">
        <v>683</v>
      </c>
      <c r="E65" s="470">
        <f>E64-SUM(E66:E70)</f>
        <v>550597137.26650703</v>
      </c>
      <c r="F65" s="470">
        <f>F64-SUM(F66:F70)</f>
        <v>1296852725.2031631</v>
      </c>
      <c r="G65" s="470">
        <f>G64-SUM(G66:G70)</f>
        <v>869804828.98250973</v>
      </c>
      <c r="H65" s="470">
        <f>H64-SUM(H66:H70)</f>
        <v>605285625.93282259</v>
      </c>
      <c r="I65" s="471">
        <f>I64-SUM(I66:I70)</f>
        <v>390660078.0966171</v>
      </c>
      <c r="J65" s="386"/>
      <c r="K65" s="444" t="s">
        <v>622</v>
      </c>
      <c r="L65" s="453" t="s">
        <v>853</v>
      </c>
      <c r="M65" s="409" t="s">
        <v>664</v>
      </c>
      <c r="N65" s="441">
        <v>1</v>
      </c>
      <c r="O65" s="410" t="s">
        <v>885</v>
      </c>
      <c r="P65" s="411">
        <v>486941333.18155122</v>
      </c>
      <c r="Q65" s="411">
        <v>997046112.50216806</v>
      </c>
      <c r="R65" s="411">
        <v>952570155.94539201</v>
      </c>
      <c r="S65" s="411">
        <v>923200997.150352</v>
      </c>
      <c r="T65" s="445">
        <v>856019683.31884801</v>
      </c>
      <c r="V65" s="412" t="s">
        <v>699</v>
      </c>
      <c r="AI65" s="387"/>
      <c r="AJ65" s="386"/>
    </row>
    <row r="66" spans="2:36">
      <c r="B66" s="467" t="s">
        <v>629</v>
      </c>
      <c r="C66" s="468"/>
      <c r="D66" s="469" t="s">
        <v>683</v>
      </c>
      <c r="E66" s="470">
        <f>$L66*$N66*P66</f>
        <v>498950423.14199013</v>
      </c>
      <c r="F66" s="470">
        <f>$L66*$N66*Q66</f>
        <v>391262606.63544977</v>
      </c>
      <c r="G66" s="470">
        <f t="shared" ref="F66:I70" si="11">$L66*$N66*R66</f>
        <v>417552755.28471684</v>
      </c>
      <c r="H66" s="470">
        <f t="shared" si="11"/>
        <v>428681322.66709733</v>
      </c>
      <c r="I66" s="471">
        <f t="shared" si="11"/>
        <v>441818803.71908283</v>
      </c>
      <c r="J66" s="386"/>
      <c r="K66" s="172" t="s">
        <v>629</v>
      </c>
      <c r="L66" s="454">
        <f>0.1515*L41+0.9287</f>
        <v>1.424105</v>
      </c>
      <c r="M66" s="370" t="s">
        <v>664</v>
      </c>
      <c r="N66" s="442">
        <v>1</v>
      </c>
      <c r="O66" s="413" t="s">
        <v>885</v>
      </c>
      <c r="P66" s="391">
        <v>350360698.92458081</v>
      </c>
      <c r="Q66" s="391">
        <v>274742808.03413355</v>
      </c>
      <c r="R66" s="391">
        <v>293203629.84802163</v>
      </c>
      <c r="S66" s="391">
        <v>301018058.82789356</v>
      </c>
      <c r="T66" s="446">
        <v>310243137.77360719</v>
      </c>
      <c r="V66" s="412" t="s">
        <v>717</v>
      </c>
      <c r="AI66" s="387"/>
      <c r="AJ66" s="386"/>
    </row>
    <row r="67" spans="2:36">
      <c r="B67" s="467" t="s">
        <v>688</v>
      </c>
      <c r="C67" s="468"/>
      <c r="D67" s="469" t="s">
        <v>683</v>
      </c>
      <c r="E67" s="470">
        <f>$L67*$N67*P67</f>
        <v>16633321.751775734</v>
      </c>
      <c r="F67" s="470">
        <f t="shared" si="11"/>
        <v>6149555.850917113</v>
      </c>
      <c r="G67" s="470">
        <f t="shared" si="11"/>
        <v>10270898.182717923</v>
      </c>
      <c r="H67" s="470">
        <f t="shared" si="11"/>
        <v>15892269.166859711</v>
      </c>
      <c r="I67" s="471">
        <f t="shared" si="11"/>
        <v>22849334.282164499</v>
      </c>
      <c r="J67" s="386"/>
      <c r="K67" s="172" t="s">
        <v>688</v>
      </c>
      <c r="L67" s="454">
        <f>L68*0.5/0.65</f>
        <v>0.48207230769230758</v>
      </c>
      <c r="M67" s="370" t="s">
        <v>664</v>
      </c>
      <c r="N67" s="442">
        <v>1</v>
      </c>
      <c r="O67" s="413" t="s">
        <v>885</v>
      </c>
      <c r="P67" s="391">
        <v>34503790.170814559</v>
      </c>
      <c r="Q67" s="391">
        <v>12756500.94973344</v>
      </c>
      <c r="R67" s="391">
        <v>21305721.19333088</v>
      </c>
      <c r="S67" s="391">
        <v>32966567.283104081</v>
      </c>
      <c r="T67" s="446">
        <v>47398147.368275195</v>
      </c>
      <c r="V67" s="412" t="s">
        <v>718</v>
      </c>
      <c r="AI67" s="387"/>
      <c r="AJ67" s="386"/>
    </row>
    <row r="68" spans="2:36">
      <c r="B68" s="467" t="s">
        <v>625</v>
      </c>
      <c r="C68" s="468"/>
      <c r="D68" s="469" t="s">
        <v>683</v>
      </c>
      <c r="E68" s="470">
        <f>$L68*$N68*P68</f>
        <v>57234671.314766191</v>
      </c>
      <c r="F68" s="470">
        <f t="shared" si="11"/>
        <v>65981797.270155348</v>
      </c>
      <c r="G68" s="470">
        <f t="shared" si="11"/>
        <v>88787903.393971413</v>
      </c>
      <c r="H68" s="470">
        <f t="shared" si="11"/>
        <v>117052719.2156772</v>
      </c>
      <c r="I68" s="471">
        <f t="shared" si="11"/>
        <v>146667912.12985632</v>
      </c>
      <c r="J68" s="386"/>
      <c r="K68" s="172" t="s">
        <v>625</v>
      </c>
      <c r="L68" s="454">
        <f>0.695*0.955-37.031/1000</f>
        <v>0.62669399999999986</v>
      </c>
      <c r="M68" s="370" t="s">
        <v>664</v>
      </c>
      <c r="N68" s="442">
        <v>1</v>
      </c>
      <c r="O68" s="413" t="s">
        <v>885</v>
      </c>
      <c r="P68" s="391">
        <v>91327938.858144805</v>
      </c>
      <c r="Q68" s="391">
        <v>105285509.78652319</v>
      </c>
      <c r="R68" s="391">
        <v>141676645.05160642</v>
      </c>
      <c r="S68" s="391">
        <v>186778107.3628872</v>
      </c>
      <c r="T68" s="446">
        <v>234034332.75227839</v>
      </c>
      <c r="V68" s="412" t="s">
        <v>888</v>
      </c>
      <c r="AI68" s="387"/>
      <c r="AJ68" s="386"/>
    </row>
    <row r="69" spans="2:36">
      <c r="B69" s="467" t="s">
        <v>779</v>
      </c>
      <c r="C69" s="472"/>
      <c r="D69" s="469" t="s">
        <v>683</v>
      </c>
      <c r="E69" s="470">
        <f>$L69*$N69*P69</f>
        <v>0</v>
      </c>
      <c r="F69" s="470">
        <f t="shared" si="11"/>
        <v>18492064.115732126</v>
      </c>
      <c r="G69" s="470">
        <f t="shared" si="11"/>
        <v>14365132.828600161</v>
      </c>
      <c r="H69" s="470">
        <f t="shared" si="11"/>
        <v>12857626.336861549</v>
      </c>
      <c r="I69" s="471">
        <f>$L69*$N69*T69</f>
        <v>13902896.603516912</v>
      </c>
      <c r="J69" s="386"/>
      <c r="K69" s="396" t="s">
        <v>886</v>
      </c>
      <c r="L69" s="454">
        <f>(8.7/100/0.45359237)*0.85</f>
        <v>0.16303184288571695</v>
      </c>
      <c r="M69" s="370" t="s">
        <v>664</v>
      </c>
      <c r="N69" s="442">
        <v>1</v>
      </c>
      <c r="O69" s="413" t="s">
        <v>885</v>
      </c>
      <c r="P69" s="370">
        <v>0</v>
      </c>
      <c r="Q69" s="391">
        <v>113426087.74099919</v>
      </c>
      <c r="R69" s="391">
        <v>88112436.039074391</v>
      </c>
      <c r="S69" s="391">
        <v>78865736.344982401</v>
      </c>
      <c r="T69" s="446">
        <v>85277184.858068794</v>
      </c>
      <c r="V69" s="370" t="s">
        <v>887</v>
      </c>
      <c r="AI69" s="387"/>
      <c r="AJ69" s="386"/>
    </row>
    <row r="70" spans="2:36" ht="17.25" thickBot="1">
      <c r="B70" s="467" t="s">
        <v>719</v>
      </c>
      <c r="C70" s="468"/>
      <c r="D70" s="469" t="s">
        <v>683</v>
      </c>
      <c r="E70" s="470">
        <f>$L70*$N70*P70</f>
        <v>351575280.12448704</v>
      </c>
      <c r="F70" s="470">
        <f t="shared" si="11"/>
        <v>0</v>
      </c>
      <c r="G70" s="470">
        <f t="shared" si="11"/>
        <v>0</v>
      </c>
      <c r="H70" s="470">
        <f t="shared" si="11"/>
        <v>0</v>
      </c>
      <c r="I70" s="471">
        <f t="shared" si="11"/>
        <v>0</v>
      </c>
      <c r="J70" s="386"/>
      <c r="K70" s="176" t="s">
        <v>719</v>
      </c>
      <c r="L70" s="455">
        <f>0.955*0.65</f>
        <v>0.62075000000000002</v>
      </c>
      <c r="M70" s="400" t="s">
        <v>664</v>
      </c>
      <c r="N70" s="443">
        <v>1</v>
      </c>
      <c r="O70" s="415" t="s">
        <v>885</v>
      </c>
      <c r="P70" s="402">
        <v>566371776.27786875</v>
      </c>
      <c r="Q70" s="402">
        <v>0</v>
      </c>
      <c r="R70" s="402">
        <v>0</v>
      </c>
      <c r="S70" s="402">
        <v>0</v>
      </c>
      <c r="T70" s="447">
        <v>0</v>
      </c>
      <c r="AH70" s="393"/>
      <c r="AI70" s="405"/>
      <c r="AJ70" s="386"/>
    </row>
    <row r="71" spans="2:36" ht="17.25" thickBot="1">
      <c r="B71" s="476" t="s">
        <v>889</v>
      </c>
      <c r="C71" s="477"/>
      <c r="D71" s="480" t="s">
        <v>664</v>
      </c>
      <c r="E71" s="478">
        <f>E65/E57</f>
        <v>1.1307258179728652</v>
      </c>
      <c r="F71" s="478">
        <f>F65/F57</f>
        <v>1.3006948314041424</v>
      </c>
      <c r="G71" s="478">
        <f>G65/G57</f>
        <v>0.91311366785290404</v>
      </c>
      <c r="H71" s="478">
        <f>H65/H57</f>
        <v>0.65563796811437602</v>
      </c>
      <c r="I71" s="479">
        <f>I65/I57</f>
        <v>0.45636810193662924</v>
      </c>
      <c r="J71" s="386"/>
      <c r="AH71" s="393"/>
      <c r="AI71" s="405"/>
      <c r="AJ71" s="386"/>
    </row>
    <row r="72" spans="2:36" ht="17.25" thickBot="1">
      <c r="J72" s="386"/>
      <c r="AH72" s="393"/>
      <c r="AI72" s="405"/>
      <c r="AJ72" s="386"/>
    </row>
    <row r="73" spans="2:36">
      <c r="B73" s="372"/>
      <c r="C73" s="373"/>
      <c r="D73" s="373"/>
      <c r="E73" s="457"/>
      <c r="F73" s="457"/>
      <c r="G73" s="457"/>
      <c r="H73" s="457"/>
      <c r="I73" s="458"/>
      <c r="J73" s="386"/>
      <c r="AH73" s="393"/>
      <c r="AI73" s="405"/>
      <c r="AJ73" s="386"/>
    </row>
    <row r="74" spans="2:36">
      <c r="B74" s="83" t="s">
        <v>876</v>
      </c>
      <c r="C74" s="87"/>
      <c r="D74" s="87"/>
      <c r="E74" s="430">
        <f>(E75-$E$11*E76+(1-$E$11)*E80)/(1-$E$11)</f>
        <v>1550585765.2933598</v>
      </c>
      <c r="F74" s="430">
        <f>(F75-$E$11*F76+(1-$E$11)*F80)/(1-$E$11)</f>
        <v>1871249606.5428565</v>
      </c>
      <c r="G74" s="430">
        <f>(G75-$E$11*G76+(1-$E$11)*G80)/(1-$E$11)</f>
        <v>1468728986.324728</v>
      </c>
      <c r="H74" s="430">
        <f>(H75-$E$11*H76+(1-$E$11)*H80)/(1-$E$11)</f>
        <v>1238789249.0893295</v>
      </c>
      <c r="I74" s="431">
        <f>(I75-$E$11*I76+(1-$E$11)*I80)/(1-$E$11)</f>
        <v>1069449809.3715756</v>
      </c>
      <c r="J74" s="386"/>
      <c r="AH74" s="393"/>
      <c r="AI74" s="405"/>
      <c r="AJ74" s="386"/>
    </row>
    <row r="75" spans="2:36">
      <c r="B75" s="406" t="s">
        <v>743</v>
      </c>
      <c r="C75" s="377"/>
      <c r="D75" s="449" t="s">
        <v>683</v>
      </c>
      <c r="E75" s="432">
        <f>E21*$E$15</f>
        <v>224718223.03888342</v>
      </c>
      <c r="F75" s="432">
        <f>F21*$E$15</f>
        <v>275003562.22402811</v>
      </c>
      <c r="G75" s="432">
        <f>G21*$E$15</f>
        <v>201984893.01687655</v>
      </c>
      <c r="H75" s="432">
        <f>H21*$E$15</f>
        <v>175445610.08753541</v>
      </c>
      <c r="I75" s="433">
        <f>I21*$E$15</f>
        <v>159188412.16737911</v>
      </c>
      <c r="J75" s="386"/>
      <c r="AH75" s="393"/>
      <c r="AI75" s="405"/>
      <c r="AJ75" s="386"/>
    </row>
    <row r="76" spans="2:36">
      <c r="B76" s="406" t="s">
        <v>689</v>
      </c>
      <c r="C76" s="377"/>
      <c r="D76" s="449" t="s">
        <v>683</v>
      </c>
      <c r="E76" s="432">
        <f>E21/$E$7</f>
        <v>84327635.607478306</v>
      </c>
      <c r="F76" s="432">
        <f>F21/$E$7</f>
        <v>103197684.07021289</v>
      </c>
      <c r="G76" s="432">
        <f>G21/$E$7</f>
        <v>75796738.80562599</v>
      </c>
      <c r="H76" s="432">
        <f>H21/$E$7</f>
        <v>65837622.228943191</v>
      </c>
      <c r="I76" s="433">
        <f>I21/$E$7</f>
        <v>59736955.163894445</v>
      </c>
      <c r="J76" s="386"/>
      <c r="AH76" s="393"/>
      <c r="AI76" s="405"/>
      <c r="AJ76" s="386"/>
    </row>
    <row r="77" spans="2:36">
      <c r="B77" s="406" t="s">
        <v>690</v>
      </c>
      <c r="C77" s="377"/>
      <c r="D77" s="449" t="s">
        <v>683</v>
      </c>
      <c r="E77" s="432">
        <f>(E79-E76)*$E$11</f>
        <v>75594931.693833545</v>
      </c>
      <c r="F77" s="432">
        <f>(F79-F76)*$E$11</f>
        <v>92510857.467438951</v>
      </c>
      <c r="G77" s="432">
        <f>(G79-G76)*$E$11</f>
        <v>67947467.65221183</v>
      </c>
      <c r="H77" s="432">
        <f>(H79-H76)*$E$11</f>
        <v>59019685.770011172</v>
      </c>
      <c r="I77" s="433">
        <f>(I79-I76)*$E$11</f>
        <v>53550784.540337913</v>
      </c>
      <c r="J77" s="386"/>
      <c r="AH77" s="393"/>
      <c r="AI77" s="405"/>
      <c r="AJ77" s="386"/>
    </row>
    <row r="78" spans="2:36">
      <c r="B78" s="406" t="s">
        <v>691</v>
      </c>
      <c r="C78" s="377"/>
      <c r="D78" s="449" t="s">
        <v>683</v>
      </c>
      <c r="E78" s="432">
        <f>E79-E77</f>
        <v>224718223.03888351</v>
      </c>
      <c r="F78" s="432">
        <f>F79-F77</f>
        <v>275003562.22402811</v>
      </c>
      <c r="G78" s="432">
        <f>G79-G77</f>
        <v>201984893.01687652</v>
      </c>
      <c r="H78" s="432">
        <f>H79-H77</f>
        <v>175445610.08753538</v>
      </c>
      <c r="I78" s="433">
        <f>I79-I77</f>
        <v>159188412.16737914</v>
      </c>
      <c r="J78" s="386"/>
      <c r="AH78" s="393"/>
      <c r="AI78" s="405"/>
      <c r="AJ78" s="386"/>
    </row>
    <row r="79" spans="2:36">
      <c r="B79" s="406" t="s">
        <v>692</v>
      </c>
      <c r="C79" s="377"/>
      <c r="D79" s="449" t="s">
        <v>683</v>
      </c>
      <c r="E79" s="432">
        <f>E74-E80</f>
        <v>300313154.73271704</v>
      </c>
      <c r="F79" s="432">
        <f>F74-F80</f>
        <v>367514419.69146705</v>
      </c>
      <c r="G79" s="432">
        <f>G74-G80</f>
        <v>269932360.66908836</v>
      </c>
      <c r="H79" s="432">
        <f>H74-H80</f>
        <v>234465295.85754657</v>
      </c>
      <c r="I79" s="433">
        <f>I74-I80</f>
        <v>212739196.70771706</v>
      </c>
      <c r="J79" s="386"/>
      <c r="AH79" s="393"/>
      <c r="AI79" s="405"/>
      <c r="AJ79" s="386"/>
    </row>
    <row r="80" spans="2:36">
      <c r="B80" s="406" t="s">
        <v>875</v>
      </c>
      <c r="C80" s="377"/>
      <c r="D80" s="449" t="s">
        <v>683</v>
      </c>
      <c r="E80" s="432">
        <f>E39</f>
        <v>1250272610.5606427</v>
      </c>
      <c r="F80" s="432">
        <f>F39</f>
        <v>1503735186.8513894</v>
      </c>
      <c r="G80" s="432">
        <f>G39</f>
        <v>1198796625.6556396</v>
      </c>
      <c r="H80" s="432">
        <f>H39</f>
        <v>1004323953.2317829</v>
      </c>
      <c r="I80" s="433">
        <f>I39</f>
        <v>856710612.66385853</v>
      </c>
      <c r="J80" s="386"/>
      <c r="AI80" s="386"/>
      <c r="AJ80" s="386"/>
    </row>
    <row r="81" spans="2:36">
      <c r="B81" s="83" t="s">
        <v>701</v>
      </c>
      <c r="C81" s="87"/>
      <c r="D81" s="87"/>
      <c r="E81" s="430">
        <f>E74</f>
        <v>1550585765.2933598</v>
      </c>
      <c r="F81" s="430">
        <f>F74</f>
        <v>1871249606.5428565</v>
      </c>
      <c r="G81" s="430">
        <f>G74</f>
        <v>1468728986.324728</v>
      </c>
      <c r="H81" s="430">
        <f>H74</f>
        <v>1238789249.0893295</v>
      </c>
      <c r="I81" s="431">
        <f>I74</f>
        <v>1069449809.3715756</v>
      </c>
      <c r="J81" s="386"/>
      <c r="AI81" s="386"/>
      <c r="AJ81" s="386"/>
    </row>
    <row r="82" spans="2:36">
      <c r="B82" s="406" t="s">
        <v>622</v>
      </c>
      <c r="C82" s="366"/>
      <c r="D82" s="449" t="s">
        <v>683</v>
      </c>
      <c r="E82" s="432">
        <f>E81-SUM(E83:E87)</f>
        <v>626192068.96034062</v>
      </c>
      <c r="F82" s="432">
        <f>F81-SUM(F83:F87)</f>
        <v>1389363582.6706021</v>
      </c>
      <c r="G82" s="432">
        <f>G81-SUM(G83:G87)</f>
        <v>937752296.63472164</v>
      </c>
      <c r="H82" s="432">
        <f>H81-SUM(H83:H87)</f>
        <v>664305311.70283377</v>
      </c>
      <c r="I82" s="433">
        <f>I81-SUM(I83:I87)</f>
        <v>444210862.63695502</v>
      </c>
      <c r="J82" s="386"/>
      <c r="AI82" s="386"/>
      <c r="AJ82" s="386"/>
    </row>
    <row r="83" spans="2:36">
      <c r="B83" s="406" t="s">
        <v>629</v>
      </c>
      <c r="C83" s="366"/>
      <c r="D83" s="449" t="s">
        <v>683</v>
      </c>
      <c r="E83" s="432">
        <f t="shared" ref="E83:I87" si="12">$L66*$N66*P66</f>
        <v>498950423.14199013</v>
      </c>
      <c r="F83" s="432">
        <f t="shared" si="12"/>
        <v>391262606.63544977</v>
      </c>
      <c r="G83" s="432">
        <f t="shared" si="12"/>
        <v>417552755.28471684</v>
      </c>
      <c r="H83" s="432">
        <f t="shared" si="12"/>
        <v>428681322.66709733</v>
      </c>
      <c r="I83" s="433">
        <f t="shared" si="12"/>
        <v>441818803.71908283</v>
      </c>
      <c r="J83" s="386"/>
      <c r="AI83" s="414"/>
      <c r="AJ83" s="386"/>
    </row>
    <row r="84" spans="2:36">
      <c r="B84" s="406" t="s">
        <v>688</v>
      </c>
      <c r="C84" s="366"/>
      <c r="D84" s="449" t="s">
        <v>683</v>
      </c>
      <c r="E84" s="432">
        <f t="shared" si="12"/>
        <v>16633321.751775734</v>
      </c>
      <c r="F84" s="432">
        <f t="shared" si="12"/>
        <v>6149555.850917113</v>
      </c>
      <c r="G84" s="432">
        <f t="shared" si="12"/>
        <v>10270898.182717923</v>
      </c>
      <c r="H84" s="432">
        <f t="shared" si="12"/>
        <v>15892269.166859711</v>
      </c>
      <c r="I84" s="433">
        <f t="shared" si="12"/>
        <v>22849334.282164499</v>
      </c>
      <c r="J84" s="386"/>
      <c r="AI84" s="414"/>
      <c r="AJ84" s="386"/>
    </row>
    <row r="85" spans="2:36">
      <c r="B85" s="406" t="s">
        <v>625</v>
      </c>
      <c r="C85" s="366"/>
      <c r="D85" s="449" t="s">
        <v>683</v>
      </c>
      <c r="E85" s="432">
        <f t="shared" si="12"/>
        <v>57234671.314766191</v>
      </c>
      <c r="F85" s="432">
        <f t="shared" si="12"/>
        <v>65981797.270155348</v>
      </c>
      <c r="G85" s="432">
        <f t="shared" si="12"/>
        <v>88787903.393971413</v>
      </c>
      <c r="H85" s="432">
        <f t="shared" si="12"/>
        <v>117052719.2156772</v>
      </c>
      <c r="I85" s="433">
        <f t="shared" si="12"/>
        <v>146667912.12985632</v>
      </c>
      <c r="AI85" s="414"/>
      <c r="AJ85" s="386"/>
    </row>
    <row r="86" spans="2:36">
      <c r="B86" s="406" t="s">
        <v>779</v>
      </c>
      <c r="C86" s="377"/>
      <c r="D86" s="449" t="s">
        <v>683</v>
      </c>
      <c r="E86" s="432">
        <f t="shared" si="12"/>
        <v>0</v>
      </c>
      <c r="F86" s="432">
        <f t="shared" si="12"/>
        <v>18492064.115732126</v>
      </c>
      <c r="G86" s="432">
        <f t="shared" si="12"/>
        <v>14365132.828600161</v>
      </c>
      <c r="H86" s="432">
        <f t="shared" si="12"/>
        <v>12857626.336861549</v>
      </c>
      <c r="I86" s="433">
        <f t="shared" si="12"/>
        <v>13902896.603516912</v>
      </c>
      <c r="J86" s="386"/>
    </row>
    <row r="87" spans="2:36">
      <c r="B87" s="406" t="s">
        <v>719</v>
      </c>
      <c r="C87" s="366"/>
      <c r="D87" s="449" t="s">
        <v>683</v>
      </c>
      <c r="E87" s="432">
        <f t="shared" si="12"/>
        <v>351575280.12448704</v>
      </c>
      <c r="F87" s="432">
        <f t="shared" si="12"/>
        <v>0</v>
      </c>
      <c r="G87" s="432">
        <f t="shared" si="12"/>
        <v>0</v>
      </c>
      <c r="H87" s="432">
        <f t="shared" si="12"/>
        <v>0</v>
      </c>
      <c r="I87" s="433">
        <f t="shared" si="12"/>
        <v>0</v>
      </c>
      <c r="J87" s="386"/>
    </row>
    <row r="88" spans="2:36">
      <c r="B88" s="367" t="s">
        <v>768</v>
      </c>
      <c r="C88" s="377"/>
      <c r="D88" s="449"/>
      <c r="E88" s="432"/>
      <c r="F88" s="407"/>
      <c r="G88" s="407"/>
      <c r="H88" s="407"/>
      <c r="I88" s="408"/>
    </row>
    <row r="89" spans="2:36">
      <c r="B89" s="368" t="s">
        <v>879</v>
      </c>
      <c r="C89" s="369"/>
      <c r="D89" s="505" t="s">
        <v>664</v>
      </c>
      <c r="E89" s="506">
        <f>E82/E57</f>
        <v>1.2859702520403442</v>
      </c>
      <c r="F89" s="506">
        <f>F82/F57</f>
        <v>1.3934797651272934</v>
      </c>
      <c r="G89" s="506">
        <f>G82/G57</f>
        <v>0.98444433806981468</v>
      </c>
      <c r="H89" s="506">
        <f>H82/H57</f>
        <v>0.71956736805240407</v>
      </c>
      <c r="I89" s="507">
        <f>I82/I57</f>
        <v>0.51892599118132254</v>
      </c>
    </row>
    <row r="90" spans="2:36">
      <c r="B90" s="406" t="s">
        <v>629</v>
      </c>
      <c r="C90" s="377"/>
      <c r="D90" s="449" t="s">
        <v>664</v>
      </c>
      <c r="E90" s="504">
        <f>$L$66</f>
        <v>1.424105</v>
      </c>
      <c r="F90" s="504">
        <f>$L$66</f>
        <v>1.424105</v>
      </c>
      <c r="G90" s="504">
        <f>$L$66</f>
        <v>1.424105</v>
      </c>
      <c r="H90" s="504">
        <f>$L$66</f>
        <v>1.424105</v>
      </c>
      <c r="I90" s="508">
        <f>$L$66</f>
        <v>1.424105</v>
      </c>
      <c r="U90" s="43"/>
      <c r="V90" s="43"/>
      <c r="W90" s="43"/>
      <c r="X90" s="43"/>
    </row>
    <row r="91" spans="2:36">
      <c r="B91" s="406" t="s">
        <v>688</v>
      </c>
      <c r="C91" s="377"/>
      <c r="D91" s="449" t="s">
        <v>664</v>
      </c>
      <c r="E91" s="504">
        <f>$L$67</f>
        <v>0.48207230769230758</v>
      </c>
      <c r="F91" s="504">
        <f>$L$67</f>
        <v>0.48207230769230758</v>
      </c>
      <c r="G91" s="504">
        <f>$L$67</f>
        <v>0.48207230769230758</v>
      </c>
      <c r="H91" s="504">
        <f>$L$67</f>
        <v>0.48207230769230758</v>
      </c>
      <c r="I91" s="508">
        <f>$L$67</f>
        <v>0.48207230769230758</v>
      </c>
      <c r="U91" s="43"/>
      <c r="W91" s="392"/>
    </row>
    <row r="92" spans="2:36">
      <c r="B92" s="406" t="s">
        <v>625</v>
      </c>
      <c r="C92" s="377"/>
      <c r="D92" s="449" t="s">
        <v>664</v>
      </c>
      <c r="E92" s="504">
        <f>$L$68</f>
        <v>0.62669399999999986</v>
      </c>
      <c r="F92" s="504">
        <f>$L$68</f>
        <v>0.62669399999999986</v>
      </c>
      <c r="G92" s="504">
        <f>$L$68</f>
        <v>0.62669399999999986</v>
      </c>
      <c r="H92" s="504">
        <f>$L$68</f>
        <v>0.62669399999999986</v>
      </c>
      <c r="I92" s="508">
        <f>$L$68</f>
        <v>0.62669399999999986</v>
      </c>
      <c r="U92" s="391"/>
      <c r="W92" s="392"/>
    </row>
    <row r="93" spans="2:36">
      <c r="B93" s="406" t="s">
        <v>779</v>
      </c>
      <c r="C93" s="377"/>
      <c r="D93" s="449" t="s">
        <v>664</v>
      </c>
      <c r="E93" s="504">
        <f>$L$69</f>
        <v>0.16303184288571695</v>
      </c>
      <c r="F93" s="504">
        <f>$L$69</f>
        <v>0.16303184288571695</v>
      </c>
      <c r="G93" s="504">
        <f>$L$69</f>
        <v>0.16303184288571695</v>
      </c>
      <c r="H93" s="504">
        <f>$L$69</f>
        <v>0.16303184288571695</v>
      </c>
      <c r="I93" s="508">
        <f>$L$69</f>
        <v>0.16303184288571695</v>
      </c>
      <c r="U93" s="391"/>
      <c r="W93" s="392"/>
    </row>
    <row r="94" spans="2:36" ht="17.25" thickBot="1">
      <c r="B94" s="417" t="s">
        <v>719</v>
      </c>
      <c r="C94" s="418"/>
      <c r="D94" s="450" t="s">
        <v>664</v>
      </c>
      <c r="E94" s="509">
        <f>$L$70</f>
        <v>0.62075000000000002</v>
      </c>
      <c r="F94" s="509">
        <f>$L$70</f>
        <v>0.62075000000000002</v>
      </c>
      <c r="G94" s="509">
        <f>$L$70</f>
        <v>0.62075000000000002</v>
      </c>
      <c r="H94" s="509">
        <f>$L$70</f>
        <v>0.62075000000000002</v>
      </c>
      <c r="I94" s="510">
        <f>$L$70</f>
        <v>0.62075000000000002</v>
      </c>
      <c r="U94" s="348"/>
      <c r="W94" s="392"/>
    </row>
    <row r="95" spans="2:36">
      <c r="E95" s="370"/>
      <c r="F95" s="370"/>
      <c r="U95" s="391"/>
      <c r="W95" s="392"/>
    </row>
    <row r="96" spans="2:36">
      <c r="E96" s="435"/>
      <c r="F96" s="435"/>
      <c r="G96" s="435"/>
      <c r="H96" s="435"/>
      <c r="I96" s="435"/>
      <c r="U96" s="391"/>
      <c r="W96" s="392"/>
    </row>
    <row r="97" spans="4:23">
      <c r="D97" s="370" t="s">
        <v>709</v>
      </c>
      <c r="E97" s="370"/>
      <c r="F97" s="370"/>
      <c r="U97" s="391"/>
      <c r="W97" s="392"/>
    </row>
    <row r="98" spans="4:23">
      <c r="E98" s="370" t="s">
        <v>773</v>
      </c>
      <c r="F98" s="370" t="s">
        <v>774</v>
      </c>
      <c r="G98" s="370" t="s">
        <v>775</v>
      </c>
      <c r="H98" s="370" t="s">
        <v>776</v>
      </c>
      <c r="I98" s="370" t="s">
        <v>777</v>
      </c>
      <c r="U98" s="391"/>
    </row>
    <row r="99" spans="4:23">
      <c r="D99" s="370" t="s">
        <v>890</v>
      </c>
      <c r="E99" s="492">
        <f t="shared" ref="E99:I100" si="13">E64</f>
        <v>1474990833.5995262</v>
      </c>
      <c r="F99" s="492">
        <f t="shared" si="13"/>
        <v>1778738749.0754175</v>
      </c>
      <c r="G99" s="492">
        <f t="shared" si="13"/>
        <v>1400781518.6725161</v>
      </c>
      <c r="H99" s="492">
        <f t="shared" si="13"/>
        <v>1179769563.3193183</v>
      </c>
      <c r="I99" s="492">
        <f t="shared" si="13"/>
        <v>1015899024.8312377</v>
      </c>
      <c r="U99" s="391"/>
    </row>
    <row r="100" spans="4:23">
      <c r="D100" s="370" t="s">
        <v>587</v>
      </c>
      <c r="E100" s="492">
        <f t="shared" si="13"/>
        <v>550597137.26650703</v>
      </c>
      <c r="F100" s="492">
        <f t="shared" si="13"/>
        <v>1296852725.2031631</v>
      </c>
      <c r="G100" s="492">
        <f t="shared" si="13"/>
        <v>869804828.98250973</v>
      </c>
      <c r="H100" s="492">
        <f t="shared" si="13"/>
        <v>605285625.93282259</v>
      </c>
      <c r="I100" s="492">
        <f t="shared" si="13"/>
        <v>390660078.0966171</v>
      </c>
      <c r="U100" s="391"/>
    </row>
    <row r="101" spans="4:23">
      <c r="D101" s="370" t="s">
        <v>591</v>
      </c>
      <c r="E101" s="385">
        <f t="shared" ref="E101:I105" si="14">-E66</f>
        <v>-498950423.14199013</v>
      </c>
      <c r="F101" s="385">
        <f t="shared" si="14"/>
        <v>-391262606.63544977</v>
      </c>
      <c r="G101" s="385">
        <f t="shared" si="14"/>
        <v>-417552755.28471684</v>
      </c>
      <c r="H101" s="385">
        <f t="shared" si="14"/>
        <v>-428681322.66709733</v>
      </c>
      <c r="I101" s="385">
        <f t="shared" si="14"/>
        <v>-441818803.71908283</v>
      </c>
    </row>
    <row r="102" spans="4:23">
      <c r="D102" s="370" t="s">
        <v>891</v>
      </c>
      <c r="E102" s="385">
        <f t="shared" si="14"/>
        <v>-16633321.751775734</v>
      </c>
      <c r="F102" s="385">
        <f t="shared" si="14"/>
        <v>-6149555.850917113</v>
      </c>
      <c r="G102" s="385">
        <f t="shared" si="14"/>
        <v>-10270898.182717923</v>
      </c>
      <c r="H102" s="385">
        <f t="shared" si="14"/>
        <v>-15892269.166859711</v>
      </c>
      <c r="I102" s="385">
        <f t="shared" si="14"/>
        <v>-22849334.282164499</v>
      </c>
    </row>
    <row r="103" spans="4:23">
      <c r="D103" s="370" t="s">
        <v>589</v>
      </c>
      <c r="E103" s="385">
        <f t="shared" si="14"/>
        <v>-57234671.314766191</v>
      </c>
      <c r="F103" s="385">
        <f t="shared" si="14"/>
        <v>-65981797.270155348</v>
      </c>
      <c r="G103" s="385">
        <f t="shared" si="14"/>
        <v>-88787903.393971413</v>
      </c>
      <c r="H103" s="385">
        <f t="shared" si="14"/>
        <v>-117052719.2156772</v>
      </c>
      <c r="I103" s="385">
        <f t="shared" si="14"/>
        <v>-146667912.12985632</v>
      </c>
    </row>
    <row r="104" spans="4:23">
      <c r="D104" s="370" t="s">
        <v>799</v>
      </c>
      <c r="E104" s="385">
        <f t="shared" si="14"/>
        <v>0</v>
      </c>
      <c r="F104" s="385">
        <f t="shared" si="14"/>
        <v>-18492064.115732126</v>
      </c>
      <c r="G104" s="385">
        <f t="shared" si="14"/>
        <v>-14365132.828600161</v>
      </c>
      <c r="H104" s="385">
        <f t="shared" si="14"/>
        <v>-12857626.336861549</v>
      </c>
      <c r="I104" s="385">
        <f t="shared" si="14"/>
        <v>-13902896.603516912</v>
      </c>
    </row>
    <row r="105" spans="4:23">
      <c r="D105" s="370" t="s">
        <v>740</v>
      </c>
      <c r="E105" s="385">
        <f t="shared" si="14"/>
        <v>-351575280.12448704</v>
      </c>
      <c r="F105" s="385">
        <f t="shared" si="14"/>
        <v>0</v>
      </c>
      <c r="G105" s="385">
        <f t="shared" si="14"/>
        <v>0</v>
      </c>
      <c r="H105" s="385">
        <f t="shared" si="14"/>
        <v>0</v>
      </c>
      <c r="I105" s="385">
        <f t="shared" si="14"/>
        <v>0</v>
      </c>
    </row>
    <row r="106" spans="4:23">
      <c r="E106" s="370"/>
      <c r="F106" s="370"/>
    </row>
    <row r="107" spans="4:23">
      <c r="D107" s="370" t="s">
        <v>892</v>
      </c>
      <c r="E107" s="370"/>
      <c r="F107" s="370"/>
    </row>
    <row r="108" spans="4:23">
      <c r="E108" s="370" t="s">
        <v>773</v>
      </c>
      <c r="F108" s="370" t="s">
        <v>774</v>
      </c>
      <c r="G108" s="370" t="s">
        <v>775</v>
      </c>
      <c r="H108" s="370" t="s">
        <v>776</v>
      </c>
      <c r="I108" s="370" t="s">
        <v>777</v>
      </c>
    </row>
    <row r="109" spans="4:23">
      <c r="D109" s="370" t="s">
        <v>893</v>
      </c>
      <c r="E109" s="493">
        <f>E71/E64*E37</f>
        <v>0.1722686614526035</v>
      </c>
      <c r="F109" s="493">
        <f>F71/F64*F37</f>
        <v>0.20109513675825069</v>
      </c>
      <c r="G109" s="493">
        <f>G71/G64*G37</f>
        <v>0.13166590510724394</v>
      </c>
      <c r="H109" s="493">
        <f>H71/H64*H37</f>
        <v>9.750107723472852E-2</v>
      </c>
      <c r="I109" s="493">
        <f>I71/I64*I37</f>
        <v>7.1511549608191699E-2</v>
      </c>
    </row>
    <row r="110" spans="4:23">
      <c r="D110" s="370" t="s">
        <v>894</v>
      </c>
      <c r="E110" s="493">
        <f>E71/E64*E41</f>
        <v>0.23233016619264482</v>
      </c>
      <c r="F110" s="493">
        <f>F71/F64*F41</f>
        <v>0.22161587363263863</v>
      </c>
      <c r="G110" s="493">
        <f>G71/G64*G41</f>
        <v>0.19755683334648511</v>
      </c>
      <c r="H110" s="493">
        <f>H71/H64*H41</f>
        <v>0.16842421192094459</v>
      </c>
      <c r="I110" s="493">
        <f>I71/I64*I41</f>
        <v>0.13614520620375997</v>
      </c>
    </row>
    <row r="111" spans="4:23">
      <c r="D111" s="370" t="s">
        <v>662</v>
      </c>
      <c r="E111" s="493">
        <f>E71/E64*SUM(E42:E48)</f>
        <v>0.71838684601921843</v>
      </c>
      <c r="F111" s="493">
        <f>F71/F64*SUM(F42:F48)</f>
        <v>0.86913370089039554</v>
      </c>
      <c r="G111" s="493">
        <f>G71/G64*SUM(G42:G48)</f>
        <v>0.57790044900915505</v>
      </c>
      <c r="H111" s="493">
        <f>H71/H64*SUM(H42:H48)</f>
        <v>0.38519396316419285</v>
      </c>
      <c r="I111" s="493">
        <f>I71/I64*SUM(I42:I48)</f>
        <v>0.24535000431574067</v>
      </c>
    </row>
    <row r="112" spans="4:23">
      <c r="D112" s="370" t="s">
        <v>895</v>
      </c>
      <c r="E112" s="493">
        <f>E71/E64*E49</f>
        <v>7.7401443083982835E-3</v>
      </c>
      <c r="F112" s="493">
        <f>F71/F64*F49</f>
        <v>8.8501201228573401E-3</v>
      </c>
      <c r="G112" s="493">
        <f>G71/G64*G49</f>
        <v>5.9904803900199706E-3</v>
      </c>
      <c r="H112" s="493">
        <f>H71/H64*H49</f>
        <v>4.5187157945102098E-3</v>
      </c>
      <c r="I112" s="493">
        <f>I71/I64*I49</f>
        <v>3.3613418089369186E-3</v>
      </c>
    </row>
    <row r="113" spans="4:9">
      <c r="D113" s="370" t="s">
        <v>896</v>
      </c>
      <c r="E113" s="493">
        <f>-E$71/E$64*E66</f>
        <v>-0.38249466537926508</v>
      </c>
      <c r="F113" s="493">
        <f>-F$71/F$64*F66</f>
        <v>-0.28610904801898146</v>
      </c>
      <c r="G113" s="493">
        <f>-G$71/G$64*G66</f>
        <v>-0.27218600675245658</v>
      </c>
      <c r="H113" s="493">
        <f>-H$71/H$64*H66</f>
        <v>-0.23823275332791988</v>
      </c>
      <c r="I113" s="493">
        <f>-I$71/I$64*I66</f>
        <v>-0.19847642720858535</v>
      </c>
    </row>
    <row r="114" spans="4:9">
      <c r="D114" s="370" t="s">
        <v>897</v>
      </c>
      <c r="E114" s="493">
        <f t="shared" ref="E114:I117" si="15">-E$71/E$64*E67</f>
        <v>-1.2751080152467538E-2</v>
      </c>
      <c r="F114" s="493">
        <f t="shared" si="15"/>
        <v>-4.4968354767537886E-3</v>
      </c>
      <c r="G114" s="493">
        <f t="shared" si="15"/>
        <v>-6.6951893544776667E-3</v>
      </c>
      <c r="H114" s="493">
        <f t="shared" si="15"/>
        <v>-8.8318730955991524E-3</v>
      </c>
      <c r="I114" s="493">
        <f t="shared" si="15"/>
        <v>-1.0264511592182331E-2</v>
      </c>
    </row>
    <row r="115" spans="4:9">
      <c r="D115" s="370" t="s">
        <v>898</v>
      </c>
      <c r="E115" s="493">
        <f t="shared" si="15"/>
        <v>-4.3876015406051183E-2</v>
      </c>
      <c r="F115" s="493">
        <f t="shared" si="15"/>
        <v>-4.8248896989879546E-2</v>
      </c>
      <c r="G115" s="493">
        <f t="shared" si="15"/>
        <v>-5.7877297100456984E-2</v>
      </c>
      <c r="H115" s="493">
        <f t="shared" si="15"/>
        <v>-6.5050166892682809E-2</v>
      </c>
      <c r="I115" s="493">
        <f t="shared" si="15"/>
        <v>-6.5887017348825683E-2</v>
      </c>
    </row>
    <row r="116" spans="4:9">
      <c r="D116" s="370" t="s">
        <v>899</v>
      </c>
      <c r="E116" s="493">
        <f t="shared" si="15"/>
        <v>0</v>
      </c>
      <c r="F116" s="493">
        <f t="shared" si="15"/>
        <v>-1.35222399747176E-2</v>
      </c>
      <c r="G116" s="493">
        <f t="shared" si="15"/>
        <v>-9.3640578144890789E-3</v>
      </c>
      <c r="H116" s="493">
        <f t="shared" si="15"/>
        <v>-7.1454191296102549E-3</v>
      </c>
      <c r="I116" s="493">
        <f t="shared" si="15"/>
        <v>-6.245540530391034E-3</v>
      </c>
    </row>
    <row r="117" spans="4:9">
      <c r="D117" s="370" t="s">
        <v>900</v>
      </c>
      <c r="E117" s="493">
        <f t="shared" si="15"/>
        <v>-0.26951709606741486</v>
      </c>
      <c r="F117" s="493">
        <f t="shared" si="15"/>
        <v>0</v>
      </c>
      <c r="G117" s="493">
        <f t="shared" si="15"/>
        <v>0</v>
      </c>
      <c r="H117" s="493">
        <f t="shared" si="15"/>
        <v>0</v>
      </c>
      <c r="I117" s="493">
        <f t="shared" si="15"/>
        <v>0</v>
      </c>
    </row>
    <row r="118" spans="4:9">
      <c r="E118" s="385"/>
      <c r="F118" s="385"/>
      <c r="G118" s="385"/>
      <c r="H118" s="385"/>
      <c r="I118" s="385"/>
    </row>
    <row r="119" spans="4:9">
      <c r="E119" s="385"/>
      <c r="F119" s="385"/>
      <c r="G119" s="385"/>
      <c r="H119" s="385"/>
      <c r="I119" s="385"/>
    </row>
    <row r="120" spans="4:9">
      <c r="D120" s="370" t="s">
        <v>901</v>
      </c>
      <c r="E120" s="370"/>
      <c r="F120" s="370"/>
    </row>
    <row r="121" spans="4:9">
      <c r="E121" s="370" t="s">
        <v>773</v>
      </c>
      <c r="F121" s="370" t="s">
        <v>774</v>
      </c>
      <c r="G121" s="370" t="s">
        <v>775</v>
      </c>
      <c r="H121" s="370" t="s">
        <v>776</v>
      </c>
      <c r="I121" s="370" t="s">
        <v>777</v>
      </c>
    </row>
    <row r="122" spans="4:9">
      <c r="D122" s="370" t="s">
        <v>903</v>
      </c>
      <c r="E122" s="493">
        <f>E89/E74*E75</f>
        <v>0.18636889128457726</v>
      </c>
      <c r="F122" s="493">
        <f>F89/F74*F75</f>
        <v>0.20478930120129388</v>
      </c>
      <c r="G122" s="493">
        <f>G89/G74*G75</f>
        <v>0.13538432628314606</v>
      </c>
      <c r="H122" s="493">
        <f>H89/H74*H75</f>
        <v>0.10190993825611785</v>
      </c>
      <c r="I122" s="493">
        <f>I89/I74*I75</f>
        <v>7.7242525871391007E-2</v>
      </c>
    </row>
    <row r="123" spans="4:9">
      <c r="D123" s="370" t="s">
        <v>894</v>
      </c>
      <c r="E123" s="493">
        <f>E89/E74*E41</f>
        <v>0.25134644409597229</v>
      </c>
      <c r="F123" s="493">
        <f>F89/F74*F41</f>
        <v>0.22568700878580666</v>
      </c>
      <c r="G123" s="493">
        <f>G89/G74*G41</f>
        <v>0.20313610242120414</v>
      </c>
      <c r="H123" s="493">
        <f>H89/H74*H41</f>
        <v>0.17604011693508917</v>
      </c>
      <c r="I123" s="493">
        <f>I89/I74*I41</f>
        <v>0.14705596047180547</v>
      </c>
    </row>
    <row r="124" spans="4:9">
      <c r="D124" s="370" t="s">
        <v>662</v>
      </c>
      <c r="E124" s="493">
        <f>E89/E74*SUM(E42:E48)</f>
        <v>0.77718697572200035</v>
      </c>
      <c r="F124" s="493">
        <f>F89/F74*SUM(F42:F48)</f>
        <v>0.88509988916246529</v>
      </c>
      <c r="G124" s="493">
        <f>G89/G74*SUM(G42:G48)</f>
        <v>0.59422113024708589</v>
      </c>
      <c r="H124" s="493">
        <f>H89/H74*SUM(H42:H48)</f>
        <v>0.40261189020699467</v>
      </c>
      <c r="I124" s="493">
        <f>I89/I74*SUM(I42:I48)</f>
        <v>0.26501249322296311</v>
      </c>
    </row>
    <row r="125" spans="4:9">
      <c r="D125" s="370" t="s">
        <v>895</v>
      </c>
      <c r="E125" s="493">
        <f>E89/E74*E49</f>
        <v>8.3736769124180023E-3</v>
      </c>
      <c r="F125" s="493">
        <f>F89/F74*F49</f>
        <v>9.0126988883191018E-3</v>
      </c>
      <c r="G125" s="493">
        <f>G89/G74*G49</f>
        <v>6.159659564521777E-3</v>
      </c>
      <c r="H125" s="493">
        <f>H89/H74*H49</f>
        <v>4.7230457414008508E-3</v>
      </c>
      <c r="I125" s="493">
        <f>I89/I74*I49</f>
        <v>3.6307216535223343E-3</v>
      </c>
    </row>
    <row r="126" spans="4:9">
      <c r="D126" s="370" t="s">
        <v>697</v>
      </c>
      <c r="E126" s="493">
        <f>E89/E74*E77</f>
        <v>6.2694264025376076E-2</v>
      </c>
      <c r="F126" s="493">
        <f>F89/F74*F77</f>
        <v>6.8890867089408211E-2</v>
      </c>
      <c r="G126" s="493">
        <f>G89/G74*G77</f>
        <v>4.5543119553856676E-2</v>
      </c>
      <c r="H126" s="493">
        <f>H89/H74*H77</f>
        <v>3.4282376912801601E-2</v>
      </c>
      <c r="I126" s="493">
        <f>I89/I74*I77</f>
        <v>2.5984289961640608E-2</v>
      </c>
    </row>
    <row r="127" spans="4:9">
      <c r="D127" s="370" t="s">
        <v>896</v>
      </c>
      <c r="E127" s="493">
        <f>-E$89/E$81*E83</f>
        <v>-0.41380194231445727</v>
      </c>
      <c r="F127" s="493">
        <f>-F$89/F$81*F83</f>
        <v>-0.29136493778868416</v>
      </c>
      <c r="G127" s="493">
        <f>-G$89/G$81*G83</f>
        <v>-0.2798729034510985</v>
      </c>
      <c r="H127" s="493">
        <f>-H$89/H$81*H83</f>
        <v>-0.24900530200076273</v>
      </c>
      <c r="I127" s="493">
        <f>-I$89/I$81*I83</f>
        <v>-0.21438244098355061</v>
      </c>
    </row>
    <row r="128" spans="4:9">
      <c r="D128" s="370" t="s">
        <v>897</v>
      </c>
      <c r="E128" s="493">
        <f t="shared" ref="E128:I131" si="16">-E$89/E$81*E84</f>
        <v>-1.3794759015701626E-2</v>
      </c>
      <c r="F128" s="493">
        <f t="shared" si="16"/>
        <v>-4.5794433905613184E-3</v>
      </c>
      <c r="G128" s="493">
        <f t="shared" si="16"/>
        <v>-6.884270452215813E-3</v>
      </c>
      <c r="H128" s="493">
        <f t="shared" si="16"/>
        <v>-9.2312379245979327E-3</v>
      </c>
      <c r="I128" s="493">
        <f t="shared" si="16"/>
        <v>-1.1087115389896604E-2</v>
      </c>
    </row>
    <row r="129" spans="4:34">
      <c r="D129" s="370" t="s">
        <v>898</v>
      </c>
      <c r="E129" s="493">
        <f t="shared" si="16"/>
        <v>-4.7467277427360587E-2</v>
      </c>
      <c r="F129" s="493">
        <f t="shared" si="16"/>
        <v>-4.9135240451732329E-2</v>
      </c>
      <c r="G129" s="493">
        <f t="shared" si="16"/>
        <v>-5.9511829343006972E-2</v>
      </c>
      <c r="H129" s="493">
        <f t="shared" si="16"/>
        <v>-6.7991643575628286E-2</v>
      </c>
      <c r="I129" s="493">
        <f t="shared" si="16"/>
        <v>-7.1167240397381565E-2</v>
      </c>
    </row>
    <row r="130" spans="4:34">
      <c r="D130" s="370" t="s">
        <v>899</v>
      </c>
      <c r="E130" s="493">
        <f t="shared" si="16"/>
        <v>0</v>
      </c>
      <c r="F130" s="493">
        <f t="shared" si="16"/>
        <v>-1.3770646668734031E-2</v>
      </c>
      <c r="G130" s="493">
        <f t="shared" si="16"/>
        <v>-9.628511325376404E-3</v>
      </c>
      <c r="H130" s="493">
        <f t="shared" si="16"/>
        <v>-7.4685248918797955E-3</v>
      </c>
      <c r="I130" s="493">
        <f t="shared" si="16"/>
        <v>-6.7460617011197996E-3</v>
      </c>
    </row>
    <row r="131" spans="4:34">
      <c r="D131" s="370" t="s">
        <v>900</v>
      </c>
      <c r="E131" s="493">
        <f t="shared" si="16"/>
        <v>-0.29157713279233166</v>
      </c>
      <c r="F131" s="493">
        <f t="shared" si="16"/>
        <v>0</v>
      </c>
      <c r="G131" s="493">
        <f t="shared" si="16"/>
        <v>0</v>
      </c>
      <c r="H131" s="493">
        <f t="shared" si="16"/>
        <v>0</v>
      </c>
      <c r="I131" s="493">
        <f t="shared" si="16"/>
        <v>0</v>
      </c>
    </row>
    <row r="132" spans="4:34">
      <c r="E132" s="385"/>
      <c r="F132" s="385"/>
      <c r="G132" s="385"/>
      <c r="H132" s="385"/>
      <c r="I132" s="385"/>
    </row>
    <row r="133" spans="4:34">
      <c r="E133" s="385"/>
      <c r="F133" s="385"/>
      <c r="G133" s="385"/>
      <c r="H133" s="385"/>
      <c r="I133" s="385"/>
    </row>
    <row r="134" spans="4:34">
      <c r="E134" s="385"/>
      <c r="F134" s="385"/>
      <c r="G134" s="385"/>
      <c r="H134" s="385"/>
      <c r="I134" s="385"/>
    </row>
    <row r="135" spans="4:34">
      <c r="E135" s="385"/>
      <c r="F135" s="385"/>
      <c r="G135" s="385"/>
      <c r="H135" s="385"/>
      <c r="I135" s="385"/>
    </row>
    <row r="136" spans="4:34">
      <c r="E136" s="385"/>
      <c r="F136" s="385"/>
      <c r="G136" s="385"/>
      <c r="H136" s="385"/>
      <c r="I136" s="385"/>
    </row>
    <row r="137" spans="4:34">
      <c r="E137" s="498"/>
      <c r="F137" s="498"/>
      <c r="G137" s="498"/>
      <c r="H137" s="371"/>
      <c r="I137" s="371"/>
    </row>
    <row r="138" spans="4:34">
      <c r="D138" s="43"/>
      <c r="E138" s="352"/>
      <c r="F138" s="352"/>
    </row>
    <row r="139" spans="4:34">
      <c r="E139" s="499"/>
      <c r="F139" s="499"/>
    </row>
    <row r="140" spans="4:34">
      <c r="E140" s="499"/>
      <c r="F140" s="499"/>
    </row>
    <row r="141" spans="4:34">
      <c r="E141" s="499"/>
      <c r="F141" s="499"/>
      <c r="AF141" s="370" t="s">
        <v>767</v>
      </c>
      <c r="AG141" s="370" t="s">
        <v>768</v>
      </c>
      <c r="AH141" s="370" t="s">
        <v>769</v>
      </c>
    </row>
    <row r="142" spans="4:34">
      <c r="E142" s="499"/>
      <c r="F142" s="499"/>
      <c r="AE142" s="370" t="s">
        <v>629</v>
      </c>
      <c r="AF142" s="386">
        <v>350.36069892458079</v>
      </c>
      <c r="AG142" s="403">
        <v>1.424105</v>
      </c>
      <c r="AH142" s="386">
        <v>498.95042314199014</v>
      </c>
    </row>
    <row r="143" spans="4:34">
      <c r="E143" s="499"/>
      <c r="F143" s="499"/>
      <c r="Q143" s="392"/>
      <c r="AE143" s="370" t="s">
        <v>688</v>
      </c>
      <c r="AF143" s="386">
        <v>34.503790170814561</v>
      </c>
      <c r="AG143" s="403">
        <v>0.4469460826160675</v>
      </c>
      <c r="AH143" s="386">
        <v>15.421333852252342</v>
      </c>
    </row>
    <row r="144" spans="4:34">
      <c r="E144" s="499"/>
      <c r="F144" s="499"/>
      <c r="Q144" s="391"/>
      <c r="AE144" s="370" t="s">
        <v>625</v>
      </c>
      <c r="AF144" s="386">
        <v>91.327938858144805</v>
      </c>
      <c r="AG144" s="403">
        <v>0.58102990740088778</v>
      </c>
      <c r="AH144" s="386">
        <v>53.064263857861818</v>
      </c>
    </row>
    <row r="145" spans="4:34">
      <c r="E145" s="499"/>
      <c r="F145" s="499"/>
      <c r="AE145" s="370" t="s">
        <v>719</v>
      </c>
      <c r="AF145" s="386">
        <v>566.37177627786878</v>
      </c>
      <c r="AG145" s="403">
        <v>0.57804257526701741</v>
      </c>
      <c r="AH145" s="386">
        <v>327.3870001182143</v>
      </c>
    </row>
    <row r="146" spans="4:34">
      <c r="E146" s="499"/>
      <c r="F146" s="499"/>
      <c r="AE146" s="370" t="s">
        <v>622</v>
      </c>
      <c r="AF146" s="386">
        <v>486.94133318155122</v>
      </c>
      <c r="AG146" s="403">
        <v>0.88929626964156527</v>
      </c>
      <c r="AH146" s="386">
        <v>433.03511113264403</v>
      </c>
    </row>
    <row r="147" spans="4:34">
      <c r="E147" s="499"/>
      <c r="F147" s="499"/>
    </row>
    <row r="148" spans="4:34">
      <c r="E148" s="499"/>
      <c r="F148" s="499"/>
    </row>
    <row r="149" spans="4:34">
      <c r="E149" s="498"/>
      <c r="F149" s="498"/>
    </row>
    <row r="150" spans="4:34">
      <c r="D150" s="940"/>
      <c r="E150" s="941"/>
      <c r="F150" s="348"/>
    </row>
    <row r="151" spans="4:34">
      <c r="E151" s="499"/>
      <c r="F151" s="499"/>
    </row>
    <row r="152" spans="4:34">
      <c r="E152" s="499"/>
      <c r="F152" s="499"/>
    </row>
    <row r="153" spans="4:34">
      <c r="E153" s="499"/>
      <c r="F153" s="499"/>
    </row>
    <row r="154" spans="4:34">
      <c r="E154" s="499"/>
      <c r="F154" s="499"/>
    </row>
    <row r="155" spans="4:34">
      <c r="E155" s="499"/>
      <c r="F155" s="499"/>
    </row>
    <row r="156" spans="4:34">
      <c r="E156" s="499"/>
      <c r="F156" s="499"/>
    </row>
    <row r="157" spans="4:34">
      <c r="E157" s="499"/>
      <c r="F157" s="499"/>
    </row>
    <row r="158" spans="4:34">
      <c r="E158" s="499"/>
      <c r="F158" s="499"/>
    </row>
    <row r="159" spans="4:34">
      <c r="E159" s="500"/>
      <c r="F159" s="500"/>
    </row>
    <row r="160" spans="4:34">
      <c r="E160" s="498"/>
      <c r="F160" s="498"/>
    </row>
    <row r="162" spans="2:6">
      <c r="E162" s="370"/>
      <c r="F162" s="370"/>
    </row>
    <row r="163" spans="2:6">
      <c r="B163" s="403"/>
      <c r="C163" s="391"/>
    </row>
    <row r="164" spans="2:6">
      <c r="B164" s="403"/>
      <c r="C164" s="391"/>
    </row>
    <row r="165" spans="2:6">
      <c r="B165" s="403"/>
      <c r="C165" s="391"/>
    </row>
    <row r="166" spans="2:6">
      <c r="B166" s="403"/>
      <c r="C166" s="391"/>
    </row>
    <row r="167" spans="2:6">
      <c r="B167" s="403"/>
      <c r="C167" s="404"/>
    </row>
    <row r="168" spans="2:6">
      <c r="B168" s="403"/>
      <c r="C168" s="404"/>
    </row>
  </sheetData>
  <mergeCells count="4">
    <mergeCell ref="O39:T39"/>
    <mergeCell ref="B3:E3"/>
    <mergeCell ref="D150:E150"/>
    <mergeCell ref="K39:N39"/>
  </mergeCells>
  <phoneticPr fontId="8" type="noConversion"/>
  <pageMargins left="0.7" right="0.7" top="0.75" bottom="0.75" header="0.3" footer="0.3"/>
  <pageSetup paperSize="9" scale="6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0"/>
  <sheetViews>
    <sheetView topLeftCell="A79" zoomScale="85" zoomScaleNormal="85" workbookViewId="0">
      <selection activeCell="O90" sqref="O90:P91"/>
    </sheetView>
  </sheetViews>
  <sheetFormatPr defaultRowHeight="16.5"/>
  <cols>
    <col min="1" max="1" width="5.125" customWidth="1"/>
    <col min="2" max="2" width="11.25" customWidth="1"/>
    <col min="3" max="3" width="10.875" customWidth="1"/>
    <col min="4" max="4" width="12" bestFit="1" customWidth="1"/>
    <col min="5" max="5" width="16" customWidth="1"/>
    <col min="6" max="6" width="15.125" customWidth="1"/>
    <col min="7" max="7" width="14.875" bestFit="1" customWidth="1"/>
    <col min="8" max="8" width="16" bestFit="1" customWidth="1"/>
    <col min="9" max="9" width="11" customWidth="1"/>
    <col min="10" max="10" width="16.75" customWidth="1"/>
    <col min="11" max="11" width="11.5" bestFit="1" customWidth="1"/>
    <col min="13" max="13" width="11.75" customWidth="1"/>
    <col min="14" max="14" width="14.25" bestFit="1" customWidth="1"/>
    <col min="15" max="15" width="11.5" bestFit="1" customWidth="1"/>
    <col min="18" max="18" width="31.75" bestFit="1" customWidth="1"/>
    <col min="19" max="19" width="14.25" bestFit="1" customWidth="1"/>
    <col min="20" max="20" width="11.5" bestFit="1" customWidth="1"/>
  </cols>
  <sheetData>
    <row r="1" spans="1:20" ht="17.25" thickBot="1">
      <c r="A1" s="42"/>
    </row>
    <row r="2" spans="1:20" ht="21" thickBot="1">
      <c r="A2" s="42"/>
      <c r="B2" s="951" t="s">
        <v>582</v>
      </c>
      <c r="C2" s="952"/>
      <c r="D2" s="952"/>
      <c r="E2" s="952"/>
      <c r="F2" s="953"/>
      <c r="H2" s="945" t="s">
        <v>628</v>
      </c>
      <c r="I2" s="946"/>
      <c r="J2" s="947"/>
    </row>
    <row r="3" spans="1:20">
      <c r="A3" s="42"/>
      <c r="B3" s="95"/>
      <c r="C3" s="84"/>
      <c r="D3" s="84"/>
      <c r="E3" s="106" t="s">
        <v>580</v>
      </c>
      <c r="F3" s="107" t="s">
        <v>581</v>
      </c>
      <c r="H3" s="129" t="s">
        <v>132</v>
      </c>
      <c r="I3" s="136"/>
      <c r="J3" s="130">
        <v>-253</v>
      </c>
    </row>
    <row r="4" spans="1:20">
      <c r="A4" s="42"/>
      <c r="B4" s="83" t="s">
        <v>583</v>
      </c>
      <c r="C4" s="84"/>
      <c r="D4" s="84"/>
      <c r="E4" s="85">
        <f>'1. DB_Experiment_VER1'!$J$14</f>
        <v>4.4444444444444446</v>
      </c>
      <c r="F4" s="86">
        <f>F47/F48</f>
        <v>4.444399925777188</v>
      </c>
      <c r="H4" s="131" t="s">
        <v>22</v>
      </c>
      <c r="I4" s="84"/>
      <c r="J4" s="132">
        <v>-164</v>
      </c>
      <c r="S4" s="14"/>
      <c r="T4" s="1"/>
    </row>
    <row r="5" spans="1:20">
      <c r="B5" s="83" t="s">
        <v>128</v>
      </c>
      <c r="C5" s="87"/>
      <c r="D5" s="87"/>
      <c r="E5" s="88">
        <v>30.353962661239862</v>
      </c>
      <c r="F5" s="89">
        <f>(F48-G48)/F48*100</f>
        <v>30.350447647927947</v>
      </c>
      <c r="H5" s="131" t="s">
        <v>30</v>
      </c>
      <c r="I5" s="84"/>
      <c r="J5" s="132">
        <v>-89</v>
      </c>
      <c r="S5" s="14"/>
      <c r="T5" s="14"/>
    </row>
    <row r="6" spans="1:20">
      <c r="B6" s="83" t="s">
        <v>129</v>
      </c>
      <c r="C6" s="87"/>
      <c r="D6" s="87"/>
      <c r="E6" s="88">
        <f>SUM(E7:E12)</f>
        <v>100.00000000000003</v>
      </c>
      <c r="F6" s="90">
        <f>SUM(F7:F12)</f>
        <v>100.01718574890529</v>
      </c>
      <c r="H6" s="131" t="s">
        <v>23</v>
      </c>
      <c r="I6" s="84"/>
      <c r="J6" s="132">
        <v>-104</v>
      </c>
      <c r="S6" s="14"/>
      <c r="T6" s="14"/>
    </row>
    <row r="7" spans="1:20">
      <c r="B7" s="83"/>
      <c r="C7" s="91" t="s">
        <v>30</v>
      </c>
      <c r="D7" s="84"/>
      <c r="E7" s="92">
        <v>1.9832375743992701</v>
      </c>
      <c r="F7" s="93">
        <f>(G49-F49)*2/($F$48-$G$48)*100</f>
        <v>1.9835723589584724</v>
      </c>
      <c r="H7" s="131" t="s">
        <v>24</v>
      </c>
      <c r="I7" s="84"/>
      <c r="J7" s="132">
        <v>-84</v>
      </c>
      <c r="S7" s="14"/>
      <c r="T7" s="14"/>
    </row>
    <row r="8" spans="1:20">
      <c r="B8" s="83"/>
      <c r="C8" s="91" t="s">
        <v>23</v>
      </c>
      <c r="D8" s="84"/>
      <c r="E8" s="92">
        <v>35.180965793283235</v>
      </c>
      <c r="F8" s="93">
        <f>(G50-F50)*2/($F$48-$G$48)*100</f>
        <v>35.187280941940124</v>
      </c>
      <c r="H8" s="131" t="s">
        <v>31</v>
      </c>
      <c r="I8" s="84"/>
      <c r="J8" s="132">
        <v>-84</v>
      </c>
      <c r="S8" s="14"/>
      <c r="T8" s="14"/>
    </row>
    <row r="9" spans="1:20">
      <c r="B9" s="83"/>
      <c r="C9" s="91" t="s">
        <v>24</v>
      </c>
      <c r="D9" s="84"/>
      <c r="E9" s="92">
        <v>41.411785543457484</v>
      </c>
      <c r="F9" s="93">
        <f>(G51-F51)*2/($F$48-$G$48)*100</f>
        <v>41.418758816676458</v>
      </c>
      <c r="H9" s="131" t="s">
        <v>32</v>
      </c>
      <c r="I9" s="84"/>
      <c r="J9" s="133" t="s">
        <v>661</v>
      </c>
      <c r="S9" s="14"/>
      <c r="T9" s="14"/>
    </row>
    <row r="10" spans="1:20" ht="17.25" thickBot="1">
      <c r="B10" s="83"/>
      <c r="C10" s="91" t="s">
        <v>32</v>
      </c>
      <c r="D10" s="84"/>
      <c r="E10" s="92">
        <v>7.478987838505045</v>
      </c>
      <c r="F10" s="93">
        <f>(G53-F53)*6/($F$48-$G$48)*100</f>
        <v>7.4802315177120366</v>
      </c>
      <c r="H10" s="134" t="s">
        <v>33</v>
      </c>
      <c r="I10" s="98"/>
      <c r="J10" s="135">
        <v>80</v>
      </c>
      <c r="S10" s="40"/>
      <c r="T10" s="14"/>
    </row>
    <row r="11" spans="1:20" ht="17.25" thickBot="1">
      <c r="B11" s="83"/>
      <c r="C11" s="91" t="s">
        <v>33</v>
      </c>
      <c r="D11" s="84"/>
      <c r="E11" s="92">
        <v>2.6768978031685888</v>
      </c>
      <c r="F11" s="93">
        <f>(G54-F54)*10/($F$48-$G$48)*100</f>
        <v>2.6773429424769719</v>
      </c>
    </row>
    <row r="12" spans="1:20" ht="21" thickBot="1">
      <c r="B12" s="83"/>
      <c r="C12" s="91" t="s">
        <v>130</v>
      </c>
      <c r="D12" s="84"/>
      <c r="E12" s="92">
        <v>11.268125447186399</v>
      </c>
      <c r="F12" s="93">
        <f>N55/($F$48-$G$48)*100</f>
        <v>11.26999917114123</v>
      </c>
      <c r="H12" s="948" t="s">
        <v>626</v>
      </c>
      <c r="I12" s="949"/>
      <c r="J12" s="950"/>
      <c r="K12" s="199" t="s">
        <v>673</v>
      </c>
      <c r="L12" s="215" t="s">
        <v>733</v>
      </c>
      <c r="M12" s="162" t="s">
        <v>734</v>
      </c>
      <c r="S12" s="14" t="s">
        <v>764</v>
      </c>
      <c r="T12" s="14" t="s">
        <v>765</v>
      </c>
    </row>
    <row r="13" spans="1:20">
      <c r="B13" s="83" t="s">
        <v>585</v>
      </c>
      <c r="C13" s="94"/>
      <c r="D13" s="87"/>
      <c r="E13" s="88">
        <f>SUM(E14:E19)</f>
        <v>30.355663599652345</v>
      </c>
      <c r="F13" s="90"/>
      <c r="H13" s="63" t="s">
        <v>622</v>
      </c>
      <c r="I13" s="64"/>
      <c r="J13" s="105">
        <f>H59</f>
        <v>60867.666647693899</v>
      </c>
      <c r="K13" s="217">
        <f>J13*8000/1000</f>
        <v>486941.33318155119</v>
      </c>
      <c r="L13" s="216">
        <f>J13*8000/10^9</f>
        <v>0.48694133318155119</v>
      </c>
      <c r="M13" s="82">
        <f>D59*8</f>
        <v>1692421.340544</v>
      </c>
      <c r="R13" t="s">
        <v>648</v>
      </c>
      <c r="S13" s="82"/>
      <c r="T13" s="82"/>
    </row>
    <row r="14" spans="1:20">
      <c r="B14" s="95"/>
      <c r="C14" s="91" t="s">
        <v>30</v>
      </c>
      <c r="D14" s="84"/>
      <c r="E14" s="92">
        <f t="shared" ref="E14:E19" si="0">F7*$F$5/100</f>
        <v>0.60202309036446056</v>
      </c>
      <c r="F14" s="93"/>
      <c r="H14" s="67" t="s">
        <v>623</v>
      </c>
      <c r="I14" s="50"/>
      <c r="J14" s="137">
        <f>I59</f>
        <v>70796.472034733597</v>
      </c>
      <c r="K14" s="217">
        <f>J14*8000/1000</f>
        <v>566371.77627786878</v>
      </c>
      <c r="L14" s="216">
        <f>J14*8000/10^9</f>
        <v>0.56637177627786872</v>
      </c>
      <c r="R14" t="s">
        <v>592</v>
      </c>
      <c r="S14" s="82">
        <f>D46</f>
        <v>13186.8</v>
      </c>
      <c r="T14" s="82">
        <f>D59</f>
        <v>211552.667568</v>
      </c>
    </row>
    <row r="15" spans="1:20">
      <c r="B15" s="95"/>
      <c r="C15" s="91" t="s">
        <v>23</v>
      </c>
      <c r="D15" s="84"/>
      <c r="E15" s="92">
        <f t="shared" si="0"/>
        <v>10.679497281012864</v>
      </c>
      <c r="F15" s="93"/>
      <c r="H15" s="67" t="s">
        <v>624</v>
      </c>
      <c r="I15" s="50"/>
      <c r="J15" s="137">
        <f>J59</f>
        <v>4312.9737713518198</v>
      </c>
      <c r="K15" s="217">
        <f>J15*8000/1000</f>
        <v>34503.790170814558</v>
      </c>
      <c r="L15" s="216">
        <f>J15*8000/10^9</f>
        <v>3.4503790170814556E-2</v>
      </c>
      <c r="R15" t="s">
        <v>763</v>
      </c>
      <c r="S15" s="82"/>
      <c r="T15" s="82"/>
    </row>
    <row r="16" spans="1:20">
      <c r="B16" s="95"/>
      <c r="C16" s="91" t="s">
        <v>24</v>
      </c>
      <c r="D16" s="84"/>
      <c r="E16" s="92">
        <f t="shared" si="0"/>
        <v>12.57077871107693</v>
      </c>
      <c r="F16" s="93"/>
      <c r="H16" s="67" t="s">
        <v>625</v>
      </c>
      <c r="I16" s="50"/>
      <c r="J16" s="137">
        <f>K59</f>
        <v>11415.9923572681</v>
      </c>
      <c r="K16" s="217">
        <f>J16*8000/1000</f>
        <v>91327.9388581448</v>
      </c>
      <c r="L16" s="216">
        <f>J16*8000/10^9</f>
        <v>9.1327938858144803E-2</v>
      </c>
      <c r="R16" t="s">
        <v>622</v>
      </c>
      <c r="S16" s="279">
        <f>H46</f>
        <v>2170.0514827860102</v>
      </c>
      <c r="T16" s="279">
        <v>60867.666647693899</v>
      </c>
    </row>
    <row r="17" spans="2:20" ht="17.25" thickBot="1">
      <c r="B17" s="95"/>
      <c r="C17" s="91" t="s">
        <v>32</v>
      </c>
      <c r="D17" s="84"/>
      <c r="E17" s="92">
        <f t="shared" si="0"/>
        <v>2.270283750726998</v>
      </c>
      <c r="F17" s="93"/>
      <c r="H17" s="70" t="s">
        <v>629</v>
      </c>
      <c r="I17" s="71"/>
      <c r="J17" s="138">
        <f>L59</f>
        <v>43795.087365572603</v>
      </c>
      <c r="K17" s="217">
        <f>J17*8000/1000</f>
        <v>350360.69892458082</v>
      </c>
      <c r="L17" s="216">
        <f>J17*8000/10^9</f>
        <v>0.35036069892458083</v>
      </c>
      <c r="R17" t="s">
        <v>623</v>
      </c>
      <c r="S17" s="279">
        <f>I46</f>
        <v>2685.84536912353</v>
      </c>
      <c r="T17" s="279">
        <v>70796.472034733597</v>
      </c>
    </row>
    <row r="18" spans="2:20">
      <c r="B18" s="95"/>
      <c r="C18" s="91" t="s">
        <v>33</v>
      </c>
      <c r="D18" s="84"/>
      <c r="E18" s="92">
        <f t="shared" si="0"/>
        <v>0.81258556811196703</v>
      </c>
      <c r="F18" s="93"/>
      <c r="R18" t="s">
        <v>624</v>
      </c>
      <c r="S18" s="82">
        <f>J46</f>
        <v>35.101908813737197</v>
      </c>
      <c r="T18" s="82">
        <v>4312.9737713518198</v>
      </c>
    </row>
    <row r="19" spans="2:20" ht="17.25" thickBot="1">
      <c r="B19" s="96"/>
      <c r="C19" s="97" t="s">
        <v>130</v>
      </c>
      <c r="D19" s="98"/>
      <c r="E19" s="99">
        <f t="shared" si="0"/>
        <v>3.4204951983591325</v>
      </c>
      <c r="F19" s="100"/>
      <c r="R19" t="s">
        <v>625</v>
      </c>
      <c r="S19" s="82">
        <f>K46</f>
        <v>145.592421889571</v>
      </c>
      <c r="T19" s="82">
        <v>11415.9923572681</v>
      </c>
    </row>
    <row r="20" spans="2:20">
      <c r="B20" s="14"/>
      <c r="R20" t="s">
        <v>629</v>
      </c>
      <c r="S20" s="82">
        <f>L46</f>
        <v>17390.5950942979</v>
      </c>
      <c r="T20" s="82">
        <v>43795.087365572603</v>
      </c>
    </row>
    <row r="21" spans="2:20">
      <c r="B21" s="14"/>
    </row>
    <row r="22" spans="2:20">
      <c r="B22" s="14"/>
    </row>
    <row r="23" spans="2:20">
      <c r="B23" s="14"/>
    </row>
    <row r="24" spans="2:20">
      <c r="B24" s="14"/>
    </row>
    <row r="25" spans="2:20">
      <c r="B25" s="14"/>
    </row>
    <row r="26" spans="2:20">
      <c r="B26" s="14"/>
    </row>
    <row r="27" spans="2:20">
      <c r="B27" s="14"/>
    </row>
    <row r="28" spans="2:20">
      <c r="B28" s="14"/>
    </row>
    <row r="29" spans="2:20">
      <c r="B29" s="14"/>
    </row>
    <row r="30" spans="2:20">
      <c r="B30" s="14"/>
    </row>
    <row r="31" spans="2:20">
      <c r="B31" s="14"/>
    </row>
    <row r="32" spans="2:20">
      <c r="B32" s="14"/>
    </row>
    <row r="33" spans="2:28">
      <c r="B33" s="14"/>
    </row>
    <row r="34" spans="2:28">
      <c r="B34" s="14"/>
    </row>
    <row r="35" spans="2:28">
      <c r="B35" s="14"/>
    </row>
    <row r="36" spans="2:28">
      <c r="B36" s="14"/>
    </row>
    <row r="37" spans="2:28">
      <c r="B37" s="14"/>
    </row>
    <row r="38" spans="2:28">
      <c r="B38" s="14"/>
    </row>
    <row r="39" spans="2:28">
      <c r="B39" s="14"/>
    </row>
    <row r="40" spans="2:28">
      <c r="B40" s="14"/>
    </row>
    <row r="41" spans="2:28">
      <c r="B41" s="14"/>
    </row>
    <row r="42" spans="2:28">
      <c r="B42" s="14"/>
    </row>
    <row r="43" spans="2:28" ht="17.25" thickBot="1">
      <c r="B43" s="14"/>
    </row>
    <row r="44" spans="2:28" ht="21" thickBot="1">
      <c r="B44" s="948" t="s">
        <v>627</v>
      </c>
      <c r="C44" s="949"/>
      <c r="D44" s="949"/>
      <c r="E44" s="949"/>
      <c r="F44" s="949"/>
      <c r="G44" s="949"/>
      <c r="H44" s="949"/>
      <c r="I44" s="949"/>
      <c r="J44" s="949"/>
      <c r="K44" s="949"/>
      <c r="L44" s="949"/>
      <c r="M44" s="949"/>
      <c r="N44" s="950"/>
    </row>
    <row r="45" spans="2:28">
      <c r="B45" s="78"/>
      <c r="C45" s="79"/>
      <c r="D45" s="80" t="str">
        <f>'DB_Aspen simulation_previous'!D117</f>
        <v>1-CH4</v>
      </c>
      <c r="E45" s="80" t="str">
        <f>'DB_Aspen simulation_previous'!E117</f>
        <v>50-O2</v>
      </c>
      <c r="F45" s="80" t="str">
        <f>'DB_Aspen simulation_previous'!F117</f>
        <v>6-RXNin</v>
      </c>
      <c r="G45" s="80" t="str">
        <f>'DB_Aspen simulation_previous'!G117</f>
        <v>7-RXN-out</v>
      </c>
      <c r="H45" s="80" t="str">
        <f>'DB_Aspen simulation_previous'!H117</f>
        <v>27-Ethylene</v>
      </c>
      <c r="I45" s="80" t="str">
        <f>'DB_Aspen simulation_previous'!I117</f>
        <v>28-C2</v>
      </c>
      <c r="J45" s="80" t="str">
        <f>'DB_Aspen simulation_previous'!J117</f>
        <v>12-Naphthalene</v>
      </c>
      <c r="K45" s="80" t="str">
        <f>'DB_Aspen simulation_previous'!K117</f>
        <v>20-Benzene</v>
      </c>
      <c r="L45" s="80" t="str">
        <f>'DB_Aspen simulation_previous'!L117</f>
        <v>37-H2</v>
      </c>
      <c r="M45" s="80" t="str">
        <f>'DB_Aspen simulation_previous'!M117</f>
        <v>54-CO2</v>
      </c>
      <c r="N45" s="81" t="str">
        <f>'DB_Aspen simulation_previous'!N117</f>
        <v>49-COKE</v>
      </c>
    </row>
    <row r="46" spans="2:28">
      <c r="B46" s="65" t="str">
        <f>'DB_Aspen simulation_previous'!B118</f>
        <v>Mole Flows</v>
      </c>
      <c r="C46" s="52" t="str">
        <f>'DB_Aspen simulation_previous'!C118</f>
        <v>kmol/hr</v>
      </c>
      <c r="D46" s="53">
        <f>'DB_Aspen simulation_previous'!D118</f>
        <v>13186.8</v>
      </c>
      <c r="E46" s="53">
        <f>'DB_Aspen simulation_previous'!E118</f>
        <v>1400</v>
      </c>
      <c r="F46" s="53">
        <f>'DB_Aspen simulation_previous'!F118</f>
        <v>221973.907566304</v>
      </c>
      <c r="G46" s="53">
        <f>'DB_Aspen simulation_previous'!G118</f>
        <v>231437.848405678</v>
      </c>
      <c r="H46" s="53">
        <f>'DB_Aspen simulation_previous'!H118</f>
        <v>2170.0514827860102</v>
      </c>
      <c r="I46" s="53">
        <f>'DB_Aspen simulation_previous'!I118</f>
        <v>2685.84536912353</v>
      </c>
      <c r="J46" s="53">
        <f>'DB_Aspen simulation_previous'!J118</f>
        <v>35.101908813737197</v>
      </c>
      <c r="K46" s="53">
        <f>'DB_Aspen simulation_previous'!K118</f>
        <v>145.592421889571</v>
      </c>
      <c r="L46" s="53">
        <f>'DB_Aspen simulation_previous'!L118</f>
        <v>17390.5950942979</v>
      </c>
      <c r="M46" s="53">
        <f>'DB_Aspen simulation_previous'!M118</f>
        <v>1400</v>
      </c>
      <c r="N46" s="66">
        <f>'DB_Aspen simulation_previous'!N118</f>
        <v>1392.0025000000001</v>
      </c>
      <c r="R46" s="286">
        <v>13186.8</v>
      </c>
      <c r="S46" s="286">
        <v>1400</v>
      </c>
      <c r="T46" s="286">
        <v>221973.907566304</v>
      </c>
      <c r="U46" s="286">
        <v>231437.848405678</v>
      </c>
      <c r="V46" s="286">
        <v>2170.0514827860102</v>
      </c>
      <c r="W46" s="286">
        <v>2685.84536912353</v>
      </c>
      <c r="X46" s="286">
        <v>35.101908813737197</v>
      </c>
      <c r="Y46" s="286">
        <v>145.592421889571</v>
      </c>
      <c r="Z46" s="286">
        <v>17390.5950942979</v>
      </c>
      <c r="AA46" s="286">
        <v>1400</v>
      </c>
      <c r="AB46" s="286">
        <v>1392.0025000000001</v>
      </c>
    </row>
    <row r="47" spans="2:28">
      <c r="B47" s="67" t="str">
        <f>'DB_Aspen simulation_previous'!B119</f>
        <v>H2</v>
      </c>
      <c r="C47" s="50" t="str">
        <f>'DB_Aspen simulation_previous'!C119</f>
        <v>kmol/hr</v>
      </c>
      <c r="D47" s="54">
        <f>'DB_Aspen simulation_previous'!D119</f>
        <v>0</v>
      </c>
      <c r="E47" s="54">
        <f>'DB_Aspen simulation_previous'!E119</f>
        <v>0</v>
      </c>
      <c r="F47" s="54">
        <f>'DB_Aspen simulation_previous'!F119</f>
        <v>180869.01015529799</v>
      </c>
      <c r="G47" s="54">
        <f>'DB_Aspen simulation_previous'!G119</f>
        <v>197643.83689999999</v>
      </c>
      <c r="H47" s="54">
        <f>'DB_Aspen simulation_previous'!H119</f>
        <v>1.0538853091876501E-9</v>
      </c>
      <c r="I47" s="54">
        <f>'DB_Aspen simulation_previous'!I119</f>
        <v>2.1702471351603201E-39</v>
      </c>
      <c r="J47" s="54">
        <f>'DB_Aspen simulation_previous'!J119</f>
        <v>0.20996271436505401</v>
      </c>
      <c r="K47" s="54">
        <f>'DB_Aspen simulation_previous'!K119</f>
        <v>5.7435524468904502E-8</v>
      </c>
      <c r="L47" s="54">
        <f>'DB_Aspen simulation_previous'!L119</f>
        <v>16767.7985447221</v>
      </c>
      <c r="M47" s="54">
        <f>'DB_Aspen simulation_previous'!M119</f>
        <v>0</v>
      </c>
      <c r="N47" s="68">
        <f>'DB_Aspen simulation_previous'!N119</f>
        <v>0</v>
      </c>
      <c r="R47" s="286">
        <v>0</v>
      </c>
      <c r="S47" s="286">
        <v>0</v>
      </c>
      <c r="T47" s="286">
        <v>180869.01015529799</v>
      </c>
      <c r="U47" s="286">
        <v>197643.83689999999</v>
      </c>
      <c r="V47" s="286">
        <v>1.0538853091876501E-9</v>
      </c>
      <c r="W47" s="286">
        <v>2.1702471351603201E-39</v>
      </c>
      <c r="X47" s="286">
        <v>0.20996271436505401</v>
      </c>
      <c r="Y47" s="286">
        <v>5.7435524468904502E-8</v>
      </c>
      <c r="Z47" s="286">
        <v>16767.7985447221</v>
      </c>
      <c r="AA47" s="286">
        <v>0</v>
      </c>
      <c r="AB47" s="286">
        <v>0</v>
      </c>
    </row>
    <row r="48" spans="2:28">
      <c r="B48" s="67" t="str">
        <f>'DB_Aspen simulation_previous'!B120</f>
        <v>CH4</v>
      </c>
      <c r="C48" s="50" t="str">
        <f>'DB_Aspen simulation_previous'!C120</f>
        <v>kmol/hr</v>
      </c>
      <c r="D48" s="54">
        <f>'DB_Aspen simulation_previous'!D120</f>
        <v>13186.8</v>
      </c>
      <c r="E48" s="54">
        <f>'DB_Aspen simulation_previous'!E120</f>
        <v>0</v>
      </c>
      <c r="F48" s="54">
        <f>'DB_Aspen simulation_previous'!F120</f>
        <v>40695.934923918801</v>
      </c>
      <c r="G48" s="54">
        <f>'DB_Aspen simulation_previous'!G120</f>
        <v>28344.536499999998</v>
      </c>
      <c r="H48" s="54">
        <f>'DB_Aspen simulation_previous'!H120</f>
        <v>0.43146132957623401</v>
      </c>
      <c r="I48" s="54">
        <f>'DB_Aspen simulation_previous'!I120</f>
        <v>1.1295021034885001E-14</v>
      </c>
      <c r="J48" s="54">
        <f>'DB_Aspen simulation_previous'!J120</f>
        <v>0.20312416833990601</v>
      </c>
      <c r="K48" s="54">
        <f>'DB_Aspen simulation_previous'!K120</f>
        <v>7.4918186669103899E-6</v>
      </c>
      <c r="L48" s="54">
        <f>'DB_Aspen simulation_previous'!L120</f>
        <v>622.64269059413596</v>
      </c>
      <c r="M48" s="54">
        <f>'DB_Aspen simulation_previous'!M120</f>
        <v>0</v>
      </c>
      <c r="N48" s="68">
        <f>'DB_Aspen simulation_previous'!N120</f>
        <v>0</v>
      </c>
      <c r="R48" s="286">
        <v>13186.8</v>
      </c>
      <c r="S48" s="286">
        <v>0</v>
      </c>
      <c r="T48" s="286">
        <v>40695.934923918801</v>
      </c>
      <c r="U48" s="286">
        <v>28344.536499999998</v>
      </c>
      <c r="V48" s="286">
        <v>0.43146132957623401</v>
      </c>
      <c r="W48" s="286">
        <v>1.1295021034885001E-14</v>
      </c>
      <c r="X48" s="286">
        <v>0.20312416833990601</v>
      </c>
      <c r="Y48" s="286">
        <v>7.4918186669103899E-6</v>
      </c>
      <c r="Z48" s="286">
        <v>622.64269059413596</v>
      </c>
      <c r="AA48" s="286">
        <v>0</v>
      </c>
      <c r="AB48" s="286">
        <v>0</v>
      </c>
    </row>
    <row r="49" spans="2:28">
      <c r="B49" s="67" t="str">
        <f>'DB_Aspen simulation_previous'!B121</f>
        <v>C2H6</v>
      </c>
      <c r="C49" s="50" t="str">
        <f>'DB_Aspen simulation_previous'!C121</f>
        <v>kmol/hr</v>
      </c>
      <c r="D49" s="54">
        <f>'DB_Aspen simulation_previous'!D121</f>
        <v>0</v>
      </c>
      <c r="E49" s="54">
        <f>'DB_Aspen simulation_previous'!E121</f>
        <v>0</v>
      </c>
      <c r="F49" s="54">
        <f>'DB_Aspen simulation_previous'!F121</f>
        <v>3.8575920635591001</v>
      </c>
      <c r="G49" s="54">
        <f>'DB_Aspen simulation_previous'!G121</f>
        <v>126.35705460440199</v>
      </c>
      <c r="H49" s="54">
        <f>'DB_Aspen simulation_previous'!H121</f>
        <v>9.4418222958600604E-13</v>
      </c>
      <c r="I49" s="54">
        <f>'DB_Aspen simulation_previous'!I121</f>
        <v>122.442527845618</v>
      </c>
      <c r="J49" s="54">
        <f>'DB_Aspen simulation_previous'!J121</f>
        <v>6.3581650537586102E-3</v>
      </c>
      <c r="K49" s="54">
        <f>'DB_Aspen simulation_previous'!K121</f>
        <v>1.0754155194E-4</v>
      </c>
      <c r="L49" s="54">
        <f>'DB_Aspen simulation_previous'!L121</f>
        <v>2.7909047960067201E-4</v>
      </c>
      <c r="M49" s="54">
        <f>'DB_Aspen simulation_previous'!M121</f>
        <v>0</v>
      </c>
      <c r="N49" s="68">
        <f>'DB_Aspen simulation_previous'!N121</f>
        <v>0</v>
      </c>
      <c r="R49" s="286">
        <v>0</v>
      </c>
      <c r="S49" s="286">
        <v>0</v>
      </c>
      <c r="T49" s="286">
        <v>3.8575920635591001</v>
      </c>
      <c r="U49" s="286">
        <v>126.35705460440199</v>
      </c>
      <c r="V49" s="286">
        <v>9.4418222958600604E-13</v>
      </c>
      <c r="W49" s="286">
        <v>122.442527845618</v>
      </c>
      <c r="X49" s="286">
        <v>6.3581650537586102E-3</v>
      </c>
      <c r="Y49" s="286">
        <v>1.0754155194E-4</v>
      </c>
      <c r="Z49" s="286">
        <v>2.7909047960067201E-4</v>
      </c>
      <c r="AA49" s="286">
        <v>0</v>
      </c>
      <c r="AB49" s="286">
        <v>0</v>
      </c>
    </row>
    <row r="50" spans="2:28">
      <c r="B50" s="67" t="str">
        <f>'DB_Aspen simulation_previous'!B122</f>
        <v>C2H4</v>
      </c>
      <c r="C50" s="50" t="str">
        <f>'DB_Aspen simulation_previous'!C122</f>
        <v>kmol/hr</v>
      </c>
      <c r="D50" s="54">
        <f>'DB_Aspen simulation_previous'!D122</f>
        <v>0</v>
      </c>
      <c r="E50" s="54">
        <f>'DB_Aspen simulation_previous'!E122</f>
        <v>0</v>
      </c>
      <c r="F50" s="54">
        <f>'DB_Aspen simulation_previous'!F122</f>
        <v>338.47623823234301</v>
      </c>
      <c r="G50" s="54">
        <f>'DB_Aspen simulation_previous'!G122</f>
        <v>2511.5368700736799</v>
      </c>
      <c r="H50" s="54">
        <f>'DB_Aspen simulation_previous'!H122</f>
        <v>2167.01343972831</v>
      </c>
      <c r="I50" s="54">
        <f>'DB_Aspen simulation_previous'!I122</f>
        <v>2.1691535750314399</v>
      </c>
      <c r="J50" s="54">
        <f>'DB_Aspen simulation_previous'!J122</f>
        <v>8.4735455812960297E-2</v>
      </c>
      <c r="K50" s="54">
        <f>'DB_Aspen simulation_previous'!K122</f>
        <v>3.7484760009025601E-4</v>
      </c>
      <c r="L50" s="54">
        <f>'DB_Aspen simulation_previous'!L122</f>
        <v>0.15035485996443201</v>
      </c>
      <c r="M50" s="54">
        <f>'DB_Aspen simulation_previous'!M122</f>
        <v>0</v>
      </c>
      <c r="N50" s="68">
        <f>'DB_Aspen simulation_previous'!N122</f>
        <v>0</v>
      </c>
      <c r="R50" s="286">
        <v>0</v>
      </c>
      <c r="S50" s="286">
        <v>0</v>
      </c>
      <c r="T50" s="286">
        <v>338.47623823234301</v>
      </c>
      <c r="U50" s="286">
        <v>2511.5368700736799</v>
      </c>
      <c r="V50" s="286">
        <v>2167.01343972831</v>
      </c>
      <c r="W50" s="286">
        <v>2.1691535750314399</v>
      </c>
      <c r="X50" s="286">
        <v>8.4735455812960297E-2</v>
      </c>
      <c r="Y50" s="286">
        <v>3.7484760009025601E-4</v>
      </c>
      <c r="Z50" s="286">
        <v>0.15035485996443201</v>
      </c>
      <c r="AA50" s="286">
        <v>0</v>
      </c>
      <c r="AB50" s="286">
        <v>0</v>
      </c>
    </row>
    <row r="51" spans="2:28">
      <c r="B51" s="67" t="str">
        <f>'DB_Aspen simulation_previous'!B123</f>
        <v>C2H2</v>
      </c>
      <c r="C51" s="50" t="str">
        <f>'DB_Aspen simulation_previous'!C123</f>
        <v>kmol/hr</v>
      </c>
      <c r="D51" s="54">
        <f>'DB_Aspen simulation_previous'!D123</f>
        <v>0</v>
      </c>
      <c r="E51" s="54">
        <f>'DB_Aspen simulation_previous'!E123</f>
        <v>0</v>
      </c>
      <c r="F51" s="54">
        <f>'DB_Aspen simulation_previous'!F123</f>
        <v>66.628656430606696</v>
      </c>
      <c r="G51" s="54">
        <f>'DB_Aspen simulation_previous'!G123</f>
        <v>2624.5266182754599</v>
      </c>
      <c r="H51" s="54">
        <f>'DB_Aspen simulation_previous'!H123</f>
        <v>2.6065817270757701</v>
      </c>
      <c r="I51" s="54">
        <f>'DB_Aspen simulation_previous'!I123</f>
        <v>2554.2300337809502</v>
      </c>
      <c r="J51" s="54">
        <f>'DB_Aspen simulation_previous'!J123</f>
        <v>0.14815621953198799</v>
      </c>
      <c r="K51" s="54">
        <f>'DB_Aspen simulation_previous'!K123</f>
        <v>4.6312008372290303E-3</v>
      </c>
      <c r="L51" s="54">
        <f>'DB_Aspen simulation_previous'!L123</f>
        <v>3.2250312196558102E-3</v>
      </c>
      <c r="M51" s="54">
        <f>'DB_Aspen simulation_previous'!M123</f>
        <v>0</v>
      </c>
      <c r="N51" s="68">
        <f>'DB_Aspen simulation_previous'!N123</f>
        <v>0</v>
      </c>
      <c r="R51" s="286">
        <v>0</v>
      </c>
      <c r="S51" s="286">
        <v>0</v>
      </c>
      <c r="T51" s="286">
        <v>66.628656430606696</v>
      </c>
      <c r="U51" s="286">
        <v>2624.5266182754599</v>
      </c>
      <c r="V51" s="286">
        <v>2.6065817270757701</v>
      </c>
      <c r="W51" s="286">
        <v>2554.2300337809502</v>
      </c>
      <c r="X51" s="286">
        <v>0.14815621953198799</v>
      </c>
      <c r="Y51" s="286">
        <v>4.6312008372290303E-3</v>
      </c>
      <c r="Z51" s="286">
        <v>3.2250312196558102E-3</v>
      </c>
      <c r="AA51" s="286">
        <v>0</v>
      </c>
      <c r="AB51" s="286">
        <v>0</v>
      </c>
    </row>
    <row r="52" spans="2:28">
      <c r="B52" s="67" t="str">
        <f>'DB_Aspen simulation_previous'!B124</f>
        <v>C3-C5</v>
      </c>
      <c r="C52" s="50" t="str">
        <f>'DB_Aspen simulation_previous'!C124</f>
        <v>kmol/hr</v>
      </c>
      <c r="D52" s="54">
        <f>'DB_Aspen simulation_previous'!D124</f>
        <v>0</v>
      </c>
      <c r="E52" s="54">
        <f>'DB_Aspen simulation_previous'!E124</f>
        <v>0</v>
      </c>
      <c r="F52" s="54">
        <f>'DB_Aspen simulation_previous'!F124</f>
        <v>0</v>
      </c>
      <c r="G52" s="54">
        <f>'DB_Aspen simulation_previous'!G124</f>
        <v>0</v>
      </c>
      <c r="H52" s="54">
        <f>'DB_Aspen simulation_previous'!H124</f>
        <v>0</v>
      </c>
      <c r="I52" s="54">
        <f>'DB_Aspen simulation_previous'!I124</f>
        <v>0</v>
      </c>
      <c r="J52" s="54">
        <f>'DB_Aspen simulation_previous'!J124</f>
        <v>0</v>
      </c>
      <c r="K52" s="54">
        <f>'DB_Aspen simulation_previous'!K124</f>
        <v>0</v>
      </c>
      <c r="L52" s="54">
        <f>'DB_Aspen simulation_previous'!L124</f>
        <v>0</v>
      </c>
      <c r="M52" s="54">
        <f>'DB_Aspen simulation_previous'!M124</f>
        <v>0</v>
      </c>
      <c r="N52" s="68">
        <f>'DB_Aspen simulation_previous'!N124</f>
        <v>0</v>
      </c>
      <c r="R52" s="286">
        <v>0</v>
      </c>
      <c r="S52" s="286">
        <v>0</v>
      </c>
      <c r="T52" s="286">
        <v>0</v>
      </c>
      <c r="U52" s="286">
        <v>0</v>
      </c>
      <c r="V52" s="286">
        <v>0</v>
      </c>
      <c r="W52" s="286">
        <v>0</v>
      </c>
      <c r="X52" s="286">
        <v>0</v>
      </c>
      <c r="Y52" s="286">
        <v>0</v>
      </c>
      <c r="Z52" s="286">
        <v>0</v>
      </c>
      <c r="AA52" s="286">
        <v>0</v>
      </c>
      <c r="AB52" s="286">
        <v>0</v>
      </c>
    </row>
    <row r="53" spans="2:28">
      <c r="B53" s="67" t="str">
        <f>'DB_Aspen simulation_previous'!B125</f>
        <v>BEN</v>
      </c>
      <c r="C53" s="50" t="str">
        <f>'DB_Aspen simulation_previous'!C125</f>
        <v>kmol/hr</v>
      </c>
      <c r="D53" s="54">
        <f>'DB_Aspen simulation_previous'!D125</f>
        <v>0</v>
      </c>
      <c r="E53" s="54">
        <f>'DB_Aspen simulation_previous'!E125</f>
        <v>0</v>
      </c>
      <c r="F53" s="54">
        <f>'DB_Aspen simulation_previous'!F125</f>
        <v>3.5999699195706998E-7</v>
      </c>
      <c r="G53" s="54">
        <f>'DB_Aspen simulation_previous'!G125</f>
        <v>153.985533324024</v>
      </c>
      <c r="H53" s="54">
        <f>'DB_Aspen simulation_previous'!H125</f>
        <v>5.2571403709701998E-239</v>
      </c>
      <c r="I53" s="54">
        <f>'DB_Aspen simulation_previous'!I125</f>
        <v>7.0036464348541303</v>
      </c>
      <c r="J53" s="54">
        <f>'DB_Aspen simulation_previous'!J125</f>
        <v>2.25044661829924</v>
      </c>
      <c r="K53" s="54">
        <f>'DB_Aspen simulation_previous'!K125</f>
        <v>144.71826348319701</v>
      </c>
      <c r="L53" s="54">
        <f>'DB_Aspen simulation_previous'!L125</f>
        <v>6.6589644960968004E-18</v>
      </c>
      <c r="M53" s="54">
        <f>'DB_Aspen simulation_previous'!M125</f>
        <v>0</v>
      </c>
      <c r="N53" s="68">
        <f>'DB_Aspen simulation_previous'!N125</f>
        <v>0</v>
      </c>
      <c r="R53" s="286">
        <v>0</v>
      </c>
      <c r="S53" s="286">
        <v>0</v>
      </c>
      <c r="T53" s="286">
        <v>3.5999699195706998E-7</v>
      </c>
      <c r="U53" s="286">
        <v>153.985533324024</v>
      </c>
      <c r="V53" s="286">
        <v>5.2571403709701998E-239</v>
      </c>
      <c r="W53" s="286">
        <v>7.0036464348541303</v>
      </c>
      <c r="X53" s="286">
        <v>2.25044661829924</v>
      </c>
      <c r="Y53" s="286">
        <v>144.71826348319701</v>
      </c>
      <c r="Z53" s="286">
        <v>6.6589644960968004E-18</v>
      </c>
      <c r="AA53" s="286">
        <v>0</v>
      </c>
      <c r="AB53" s="286">
        <v>0</v>
      </c>
    </row>
    <row r="54" spans="2:28">
      <c r="B54" s="67" t="str">
        <f>'DB_Aspen simulation_previous'!B126</f>
        <v>NAP</v>
      </c>
      <c r="C54" s="50" t="str">
        <f>'DB_Aspen simulation_previous'!C126</f>
        <v>kmol/hr</v>
      </c>
      <c r="D54" s="54">
        <f>'DB_Aspen simulation_previous'!D126</f>
        <v>0</v>
      </c>
      <c r="E54" s="54">
        <f>'DB_Aspen simulation_previous'!E126</f>
        <v>0</v>
      </c>
      <c r="F54" s="54">
        <f>'DB_Aspen simulation_previous'!F126</f>
        <v>1.8118092930555701E-56</v>
      </c>
      <c r="G54" s="54">
        <f>'DB_Aspen simulation_previous'!G126</f>
        <v>33.068929400000201</v>
      </c>
      <c r="H54" s="54">
        <f>'DB_Aspen simulation_previous'!H126</f>
        <v>0</v>
      </c>
      <c r="I54" s="54">
        <f>'DB_Aspen simulation_previous'!I126</f>
        <v>7.4870778619701203E-6</v>
      </c>
      <c r="J54" s="54">
        <f>'DB_Aspen simulation_previous'!J126</f>
        <v>32.199125472334302</v>
      </c>
      <c r="K54" s="54">
        <f>'DB_Aspen simulation_previous'!K126</f>
        <v>0.86903726712974705</v>
      </c>
      <c r="L54" s="54">
        <f>'DB_Aspen simulation_previous'!L126</f>
        <v>0</v>
      </c>
      <c r="M54" s="54">
        <f>'DB_Aspen simulation_previous'!M126</f>
        <v>0</v>
      </c>
      <c r="N54" s="68">
        <f>'DB_Aspen simulation_previous'!N126</f>
        <v>0</v>
      </c>
      <c r="R54" s="286">
        <v>0</v>
      </c>
      <c r="S54" s="286">
        <v>0</v>
      </c>
      <c r="T54" s="286">
        <v>1.8118092930555701E-56</v>
      </c>
      <c r="U54" s="286">
        <v>33.068929400000201</v>
      </c>
      <c r="V54" s="286">
        <v>0</v>
      </c>
      <c r="W54" s="286">
        <v>7.4870778619701203E-6</v>
      </c>
      <c r="X54" s="286">
        <v>32.199125472334302</v>
      </c>
      <c r="Y54" s="286">
        <v>0.86903726712974705</v>
      </c>
      <c r="Z54" s="286">
        <v>0</v>
      </c>
      <c r="AA54" s="286">
        <v>0</v>
      </c>
      <c r="AB54" s="286">
        <v>0</v>
      </c>
    </row>
    <row r="55" spans="2:28">
      <c r="B55" s="67" t="str">
        <f>'DB_Aspen simulation_previous'!B127</f>
        <v>C</v>
      </c>
      <c r="C55" s="50" t="str">
        <f>'DB_Aspen simulation_previous'!C127</f>
        <v>kmol/hr</v>
      </c>
      <c r="D55" s="54">
        <f>'DB_Aspen simulation_previous'!D127</f>
        <v>0</v>
      </c>
      <c r="E55" s="54">
        <f>'DB_Aspen simulation_previous'!E127</f>
        <v>0</v>
      </c>
      <c r="F55" s="54">
        <f>'DB_Aspen simulation_previous'!F127</f>
        <v>0</v>
      </c>
      <c r="G55" s="54">
        <f>'DB_Aspen simulation_previous'!G127</f>
        <v>0</v>
      </c>
      <c r="H55" s="54">
        <f>'DB_Aspen simulation_previous'!H127</f>
        <v>0</v>
      </c>
      <c r="I55" s="54">
        <f>'DB_Aspen simulation_previous'!I127</f>
        <v>0</v>
      </c>
      <c r="J55" s="54">
        <f>'DB_Aspen simulation_previous'!J127</f>
        <v>0</v>
      </c>
      <c r="K55" s="54">
        <f>'DB_Aspen simulation_previous'!K127</f>
        <v>0</v>
      </c>
      <c r="L55" s="54">
        <f>'DB_Aspen simulation_previous'!L127</f>
        <v>0</v>
      </c>
      <c r="M55" s="54">
        <f>'DB_Aspen simulation_previous'!M127</f>
        <v>0</v>
      </c>
      <c r="N55" s="68">
        <f>'DB_Aspen simulation_previous'!N127</f>
        <v>1392.0025000000001</v>
      </c>
      <c r="R55" s="286">
        <v>0</v>
      </c>
      <c r="S55" s="286">
        <v>0</v>
      </c>
      <c r="T55" s="286">
        <v>0</v>
      </c>
      <c r="U55" s="286">
        <v>0</v>
      </c>
      <c r="V55" s="286">
        <v>0</v>
      </c>
      <c r="W55" s="286">
        <v>0</v>
      </c>
      <c r="X55" s="286">
        <v>0</v>
      </c>
      <c r="Y55" s="286">
        <v>0</v>
      </c>
      <c r="Z55" s="286">
        <v>0</v>
      </c>
      <c r="AA55" s="286">
        <v>0</v>
      </c>
      <c r="AB55" s="286">
        <v>1392.0025000000001</v>
      </c>
    </row>
    <row r="56" spans="2:28">
      <c r="B56" s="67" t="str">
        <f>'DB_Aspen simulation_previous'!B128</f>
        <v>WATER</v>
      </c>
      <c r="C56" s="50" t="str">
        <f>'DB_Aspen simulation_previous'!C128</f>
        <v>kmol/hr</v>
      </c>
      <c r="D56" s="54">
        <f>'DB_Aspen simulation_previous'!D128</f>
        <v>0</v>
      </c>
      <c r="E56" s="54">
        <f>'DB_Aspen simulation_previous'!E128</f>
        <v>0</v>
      </c>
      <c r="F56" s="54">
        <f>'DB_Aspen simulation_previous'!F128</f>
        <v>0</v>
      </c>
      <c r="G56" s="54">
        <f>'DB_Aspen simulation_previous'!G128</f>
        <v>0</v>
      </c>
      <c r="H56" s="54">
        <f>'DB_Aspen simulation_previous'!H128</f>
        <v>0</v>
      </c>
      <c r="I56" s="54">
        <f>'DB_Aspen simulation_previous'!I128</f>
        <v>0</v>
      </c>
      <c r="J56" s="54">
        <f>'DB_Aspen simulation_previous'!J128</f>
        <v>0</v>
      </c>
      <c r="K56" s="54">
        <f>'DB_Aspen simulation_previous'!K128</f>
        <v>0</v>
      </c>
      <c r="L56" s="54">
        <f>'DB_Aspen simulation_previous'!L128</f>
        <v>0</v>
      </c>
      <c r="M56" s="54">
        <f>'DB_Aspen simulation_previous'!M128</f>
        <v>0</v>
      </c>
      <c r="N56" s="68">
        <f>'DB_Aspen simulation_previous'!N128</f>
        <v>0</v>
      </c>
      <c r="R56" s="286">
        <v>0</v>
      </c>
      <c r="S56" s="286">
        <v>0</v>
      </c>
      <c r="T56" s="286">
        <v>0</v>
      </c>
      <c r="U56" s="286">
        <v>0</v>
      </c>
      <c r="V56" s="286">
        <v>0</v>
      </c>
      <c r="W56" s="286">
        <v>0</v>
      </c>
      <c r="X56" s="286">
        <v>0</v>
      </c>
      <c r="Y56" s="286">
        <v>0</v>
      </c>
      <c r="Z56" s="286">
        <v>0</v>
      </c>
      <c r="AA56" s="286">
        <v>0</v>
      </c>
      <c r="AB56" s="286">
        <v>0</v>
      </c>
    </row>
    <row r="57" spans="2:28">
      <c r="B57" s="67" t="str">
        <f>'DB_Aspen simulation_previous'!B129</f>
        <v>O2</v>
      </c>
      <c r="C57" s="50" t="str">
        <f>'DB_Aspen simulation_previous'!C129</f>
        <v>kmol/hr</v>
      </c>
      <c r="D57" s="54">
        <f>'DB_Aspen simulation_previous'!D129</f>
        <v>0</v>
      </c>
      <c r="E57" s="54">
        <f>'DB_Aspen simulation_previous'!E129</f>
        <v>1400</v>
      </c>
      <c r="F57" s="54">
        <f>'DB_Aspen simulation_previous'!F129</f>
        <v>0</v>
      </c>
      <c r="G57" s="54">
        <f>'DB_Aspen simulation_previous'!G129</f>
        <v>0</v>
      </c>
      <c r="H57" s="54">
        <f>'DB_Aspen simulation_previous'!H129</f>
        <v>0</v>
      </c>
      <c r="I57" s="54">
        <f>'DB_Aspen simulation_previous'!I129</f>
        <v>0</v>
      </c>
      <c r="J57" s="54">
        <f>'DB_Aspen simulation_previous'!J129</f>
        <v>0</v>
      </c>
      <c r="K57" s="54">
        <f>'DB_Aspen simulation_previous'!K129</f>
        <v>0</v>
      </c>
      <c r="L57" s="54">
        <f>'DB_Aspen simulation_previous'!L129</f>
        <v>0</v>
      </c>
      <c r="M57" s="54">
        <f>'DB_Aspen simulation_previous'!M129</f>
        <v>7.9975000000000298</v>
      </c>
      <c r="N57" s="68">
        <f>'DB_Aspen simulation_previous'!N129</f>
        <v>0</v>
      </c>
      <c r="R57" s="286">
        <v>0</v>
      </c>
      <c r="S57" s="286">
        <v>1400</v>
      </c>
      <c r="T57" s="286">
        <v>0</v>
      </c>
      <c r="U57" s="286">
        <v>0</v>
      </c>
      <c r="V57" s="286">
        <v>0</v>
      </c>
      <c r="W57" s="286">
        <v>0</v>
      </c>
      <c r="X57" s="286">
        <v>0</v>
      </c>
      <c r="Y57" s="286">
        <v>0</v>
      </c>
      <c r="Z57" s="286">
        <v>0</v>
      </c>
      <c r="AA57" s="286">
        <v>7.9975000000000298</v>
      </c>
      <c r="AB57" s="286">
        <v>0</v>
      </c>
    </row>
    <row r="58" spans="2:28" ht="17.25" thickBot="1">
      <c r="B58" s="67" t="str">
        <f>'DB_Aspen simulation_previous'!B130</f>
        <v>CO2</v>
      </c>
      <c r="C58" s="50" t="str">
        <f>'DB_Aspen simulation_previous'!C130</f>
        <v>kmol/hr</v>
      </c>
      <c r="D58" s="54">
        <f>'DB_Aspen simulation_previous'!D130</f>
        <v>0</v>
      </c>
      <c r="E58" s="54">
        <f>'DB_Aspen simulation_previous'!E130</f>
        <v>0</v>
      </c>
      <c r="F58" s="54">
        <f>'DB_Aspen simulation_previous'!F130</f>
        <v>0</v>
      </c>
      <c r="G58" s="54">
        <f>'DB_Aspen simulation_previous'!G130</f>
        <v>0</v>
      </c>
      <c r="H58" s="54">
        <f>'DB_Aspen simulation_previous'!H130</f>
        <v>0</v>
      </c>
      <c r="I58" s="54">
        <f>'DB_Aspen simulation_previous'!I130</f>
        <v>0</v>
      </c>
      <c r="J58" s="54">
        <f>'DB_Aspen simulation_previous'!J130</f>
        <v>0</v>
      </c>
      <c r="K58" s="54">
        <f>'DB_Aspen simulation_previous'!K130</f>
        <v>0</v>
      </c>
      <c r="L58" s="54">
        <f>'DB_Aspen simulation_previous'!L130</f>
        <v>0</v>
      </c>
      <c r="M58" s="54">
        <f>'DB_Aspen simulation_previous'!M130</f>
        <v>1392.0025000000001</v>
      </c>
      <c r="N58" s="68">
        <f>'DB_Aspen simulation_previous'!N130</f>
        <v>0</v>
      </c>
      <c r="R58" s="286">
        <v>0</v>
      </c>
      <c r="S58" s="286">
        <v>0</v>
      </c>
      <c r="T58" s="286">
        <v>0</v>
      </c>
      <c r="U58" s="286">
        <v>0</v>
      </c>
      <c r="V58" s="286">
        <v>0</v>
      </c>
      <c r="W58" s="286">
        <v>0</v>
      </c>
      <c r="X58" s="286">
        <v>0</v>
      </c>
      <c r="Y58" s="286">
        <v>0</v>
      </c>
      <c r="Z58" s="286">
        <v>0</v>
      </c>
      <c r="AA58" s="286">
        <v>1392.0025000000001</v>
      </c>
      <c r="AB58" s="286">
        <v>0</v>
      </c>
    </row>
    <row r="59" spans="2:28">
      <c r="B59" s="163" t="str">
        <f>'DB_Aspen simulation_previous'!B144</f>
        <v>Mass Flows</v>
      </c>
      <c r="C59" s="164" t="str">
        <f>'DB_Aspen simulation_previous'!C144</f>
        <v>kg/hr</v>
      </c>
      <c r="D59" s="165">
        <f>'DB_Aspen simulation_previous'!D144</f>
        <v>211552.667568</v>
      </c>
      <c r="E59" s="165">
        <f>'DB_Aspen simulation_previous'!E144</f>
        <v>44798.32</v>
      </c>
      <c r="F59" s="165">
        <f>'DB_Aspen simulation_previous'!F144</f>
        <v>1028831.73369842</v>
      </c>
      <c r="G59" s="165">
        <f>'DB_Aspen simulation_previous'!G144</f>
        <v>1012012.4587809</v>
      </c>
      <c r="H59" s="165">
        <f>'DB_Aspen simulation_previous'!H144</f>
        <v>60867.666647693899</v>
      </c>
      <c r="I59" s="165">
        <f>'DB_Aspen simulation_previous'!I144</f>
        <v>70796.472034733597</v>
      </c>
      <c r="J59" s="165">
        <f>'DB_Aspen simulation_previous'!J144</f>
        <v>4312.9737713518198</v>
      </c>
      <c r="K59" s="165">
        <f>'DB_Aspen simulation_previous'!K144</f>
        <v>11415.9923572681</v>
      </c>
      <c r="L59" s="165">
        <f>'DB_Aspen simulation_previous'!L144</f>
        <v>43795.087365572603</v>
      </c>
      <c r="M59" s="165">
        <f>'DB_Aspen simulation_previous'!M144</f>
        <v>61517.662027500199</v>
      </c>
      <c r="N59" s="190">
        <f>'DB_Aspen simulation_previous'!N144</f>
        <v>16719.342027499999</v>
      </c>
      <c r="O59" s="168"/>
    </row>
    <row r="60" spans="2:28">
      <c r="B60" s="67" t="str">
        <f>'DB_Aspen simulation_previous'!B145</f>
        <v>H2</v>
      </c>
      <c r="C60" s="50" t="str">
        <f>'DB_Aspen simulation_previous'!C145</f>
        <v>kg/hr</v>
      </c>
      <c r="D60" s="54">
        <f>'DB_Aspen simulation_previous'!D145</f>
        <v>0</v>
      </c>
      <c r="E60" s="54">
        <f>'DB_Aspen simulation_previous'!E145</f>
        <v>0</v>
      </c>
      <c r="F60" s="54">
        <f>'DB_Aspen simulation_previous'!F145</f>
        <v>364610.22019186302</v>
      </c>
      <c r="G60" s="54">
        <f>'DB_Aspen simulation_previous'!G145</f>
        <v>398426.25792997202</v>
      </c>
      <c r="H60" s="54">
        <f>'DB_Aspen simulation_previous'!H145</f>
        <v>2.1245063170851999E-9</v>
      </c>
      <c r="I60" s="54">
        <f>'DB_Aspen simulation_previous'!I145</f>
        <v>4.3749577948269799E-39</v>
      </c>
      <c r="J60" s="54">
        <f>'DB_Aspen simulation_previous'!J145</f>
        <v>0.423259636634224</v>
      </c>
      <c r="K60" s="54">
        <f>'DB_Aspen simulation_previous'!K145</f>
        <v>1.15783125066375E-7</v>
      </c>
      <c r="L60" s="54">
        <f>'DB_Aspen simulation_previous'!L145</f>
        <v>33801.869730334198</v>
      </c>
      <c r="M60" s="54">
        <f>'DB_Aspen simulation_previous'!M145</f>
        <v>0</v>
      </c>
      <c r="N60" s="68">
        <f>'DB_Aspen simulation_previous'!N145</f>
        <v>0</v>
      </c>
    </row>
    <row r="61" spans="2:28">
      <c r="B61" s="67" t="str">
        <f>'DB_Aspen simulation_previous'!B146</f>
        <v>CH4</v>
      </c>
      <c r="C61" s="50" t="str">
        <f>'DB_Aspen simulation_previous'!C146</f>
        <v>kg/hr</v>
      </c>
      <c r="D61" s="54">
        <f>'DB_Aspen simulation_previous'!D146</f>
        <v>211552.667568</v>
      </c>
      <c r="E61" s="54">
        <f>'DB_Aspen simulation_previous'!E146</f>
        <v>0</v>
      </c>
      <c r="F61" s="54">
        <f>'DB_Aspen simulation_previous'!F146</f>
        <v>652875.11696004798</v>
      </c>
      <c r="G61" s="54">
        <f>'DB_Aspen simulation_previous'!G146</f>
        <v>454724.59638074</v>
      </c>
      <c r="H61" s="54">
        <f>'DB_Aspen simulation_previous'!H146</f>
        <v>6.9218305596724301</v>
      </c>
      <c r="I61" s="54">
        <f>'DB_Aspen simulation_previous'!I146</f>
        <v>1.81203311657611E-13</v>
      </c>
      <c r="J61" s="54">
        <f>'DB_Aspen simulation_previous'!J146</f>
        <v>3.2586722828767098</v>
      </c>
      <c r="K61" s="54">
        <f>'DB_Aspen simulation_previous'!K146</f>
        <v>1.20189448836764E-4</v>
      </c>
      <c r="L61" s="54">
        <f>'DB_Aspen simulation_previous'!L146</f>
        <v>9988.9072509559301</v>
      </c>
      <c r="M61" s="54">
        <f>'DB_Aspen simulation_previous'!M146</f>
        <v>0</v>
      </c>
      <c r="N61" s="68">
        <f>'DB_Aspen simulation_previous'!N146</f>
        <v>0</v>
      </c>
    </row>
    <row r="62" spans="2:28">
      <c r="B62" s="67" t="str">
        <f>'DB_Aspen simulation_previous'!B147</f>
        <v>C2H6</v>
      </c>
      <c r="C62" s="50" t="str">
        <f>'DB_Aspen simulation_previous'!C147</f>
        <v>kg/hr</v>
      </c>
      <c r="D62" s="54">
        <f>'DB_Aspen simulation_previous'!D147</f>
        <v>0</v>
      </c>
      <c r="E62" s="54">
        <f>'DB_Aspen simulation_previous'!E147</f>
        <v>0</v>
      </c>
      <c r="F62" s="54">
        <f>'DB_Aspen simulation_previous'!F147</f>
        <v>115.996404618079</v>
      </c>
      <c r="G62" s="54">
        <f>'DB_Aspen simulation_previous'!G147</f>
        <v>3799.5111434147002</v>
      </c>
      <c r="H62" s="54">
        <f>'DB_Aspen simulation_previous'!H147</f>
        <v>2.83912197380485E-11</v>
      </c>
      <c r="I62" s="54">
        <f>'DB_Aspen simulation_previous'!I147</f>
        <v>3681.8027330077098</v>
      </c>
      <c r="J62" s="54">
        <f>'DB_Aspen simulation_previous'!J147</f>
        <v>0.191187734227102</v>
      </c>
      <c r="K62" s="54">
        <f>'DB_Aspen simulation_previous'!K147</f>
        <v>3.2337357518771098E-3</v>
      </c>
      <c r="L62" s="54">
        <f>'DB_Aspen simulation_previous'!L147</f>
        <v>8.3921502490195508E-3</v>
      </c>
      <c r="M62" s="54">
        <f>'DB_Aspen simulation_previous'!M147</f>
        <v>0</v>
      </c>
      <c r="N62" s="68">
        <f>'DB_Aspen simulation_previous'!N147</f>
        <v>0</v>
      </c>
    </row>
    <row r="63" spans="2:28">
      <c r="B63" s="67" t="str">
        <f>'DB_Aspen simulation_previous'!B148</f>
        <v>C2H4</v>
      </c>
      <c r="C63" s="50" t="str">
        <f>'DB_Aspen simulation_previous'!C148</f>
        <v>kg/hr</v>
      </c>
      <c r="D63" s="54">
        <f>'DB_Aspen simulation_previous'!D148</f>
        <v>0</v>
      </c>
      <c r="E63" s="54">
        <f>'DB_Aspen simulation_previous'!E148</f>
        <v>0</v>
      </c>
      <c r="F63" s="54">
        <f>'DB_Aspen simulation_previous'!F148</f>
        <v>9495.5311530729705</v>
      </c>
      <c r="G63" s="54">
        <f>'DB_Aspen simulation_previous'!G148</f>
        <v>70458.052584198405</v>
      </c>
      <c r="H63" s="54">
        <f>'DB_Aspen simulation_previous'!H148</f>
        <v>60792.874954912302</v>
      </c>
      <c r="I63" s="54">
        <f>'DB_Aspen simulation_previous'!I148</f>
        <v>60.852913797074102</v>
      </c>
      <c r="J63" s="54">
        <f>'DB_Aspen simulation_previous'!J148</f>
        <v>2.3771481408673898</v>
      </c>
      <c r="K63" s="54">
        <f>'DB_Aspen simulation_previous'!K148</f>
        <v>1.0515884609507999E-2</v>
      </c>
      <c r="L63" s="54">
        <f>'DB_Aspen simulation_previous'!L148</f>
        <v>4.2180191562757798</v>
      </c>
      <c r="M63" s="54">
        <f>'DB_Aspen simulation_previous'!M148</f>
        <v>0</v>
      </c>
      <c r="N63" s="68">
        <f>'DB_Aspen simulation_previous'!N148</f>
        <v>0</v>
      </c>
    </row>
    <row r="64" spans="2:28">
      <c r="B64" s="67" t="str">
        <f>'DB_Aspen simulation_previous'!B149</f>
        <v>C2H2</v>
      </c>
      <c r="C64" s="50" t="str">
        <f>'DB_Aspen simulation_previous'!C149</f>
        <v>kg/hr</v>
      </c>
      <c r="D64" s="54">
        <f>'DB_Aspen simulation_previous'!D149</f>
        <v>0</v>
      </c>
      <c r="E64" s="54">
        <f>'DB_Aspen simulation_previous'!E149</f>
        <v>0</v>
      </c>
      <c r="F64" s="54">
        <f>'DB_Aspen simulation_previous'!F149</f>
        <v>1734.86896070136</v>
      </c>
      <c r="G64" s="54">
        <f>'DB_Aspen simulation_previous'!G149</f>
        <v>68337.109143462207</v>
      </c>
      <c r="H64" s="54">
        <f>'DB_Aspen simulation_previous'!H149</f>
        <v>67.869862219791401</v>
      </c>
      <c r="I64" s="54">
        <f>'DB_Aspen simulation_previous'!I149</f>
        <v>66506.735111984206</v>
      </c>
      <c r="J64" s="54">
        <f>'DB_Aspen simulation_previous'!J149</f>
        <v>3.8576738654275502</v>
      </c>
      <c r="K64" s="54">
        <f>'DB_Aspen simulation_previous'!K149</f>
        <v>0.12058665165566899</v>
      </c>
      <c r="L64" s="54">
        <f>'DB_Aspen simulation_previous'!L149</f>
        <v>8.3972975893651505E-2</v>
      </c>
      <c r="M64" s="54">
        <f>'DB_Aspen simulation_previous'!M149</f>
        <v>0</v>
      </c>
      <c r="N64" s="68">
        <f>'DB_Aspen simulation_previous'!N149</f>
        <v>0</v>
      </c>
    </row>
    <row r="65" spans="1:19">
      <c r="B65" s="67" t="str">
        <f>'DB_Aspen simulation_previous'!B150</f>
        <v>C3-C5</v>
      </c>
      <c r="C65" s="50" t="str">
        <f>'DB_Aspen simulation_previous'!C150</f>
        <v>kg/hr</v>
      </c>
      <c r="D65" s="54">
        <f>'DB_Aspen simulation_previous'!D150</f>
        <v>0</v>
      </c>
      <c r="E65" s="54">
        <f>'DB_Aspen simulation_previous'!E150</f>
        <v>0</v>
      </c>
      <c r="F65" s="54">
        <f>'DB_Aspen simulation_previous'!F150</f>
        <v>0</v>
      </c>
      <c r="G65" s="54">
        <f>'DB_Aspen simulation_previous'!G150</f>
        <v>0</v>
      </c>
      <c r="H65" s="54">
        <f>'DB_Aspen simulation_previous'!H150</f>
        <v>0</v>
      </c>
      <c r="I65" s="54">
        <f>'DB_Aspen simulation_previous'!I150</f>
        <v>0</v>
      </c>
      <c r="J65" s="54">
        <f>'DB_Aspen simulation_previous'!J150</f>
        <v>0</v>
      </c>
      <c r="K65" s="54">
        <f>'DB_Aspen simulation_previous'!K150</f>
        <v>0</v>
      </c>
      <c r="L65" s="54">
        <f>'DB_Aspen simulation_previous'!L150</f>
        <v>0</v>
      </c>
      <c r="M65" s="54">
        <f>'DB_Aspen simulation_previous'!M150</f>
        <v>0</v>
      </c>
      <c r="N65" s="68">
        <f>'DB_Aspen simulation_previous'!N150</f>
        <v>0</v>
      </c>
    </row>
    <row r="66" spans="1:19">
      <c r="B66" s="67" t="str">
        <f>'DB_Aspen simulation_previous'!B151</f>
        <v>BEN</v>
      </c>
      <c r="C66" s="50" t="str">
        <f>'DB_Aspen simulation_previous'!C151</f>
        <v>kg/hr</v>
      </c>
      <c r="D66" s="54">
        <f>'DB_Aspen simulation_previous'!D151</f>
        <v>0</v>
      </c>
      <c r="E66" s="54">
        <f>'DB_Aspen simulation_previous'!E151</f>
        <v>0</v>
      </c>
      <c r="F66" s="54">
        <f>'DB_Aspen simulation_previous'!F151</f>
        <v>2.8120675430817401E-5</v>
      </c>
      <c r="G66" s="54">
        <f>'DB_Aspen simulation_previous'!G151</f>
        <v>12028.3705152808</v>
      </c>
      <c r="H66" s="54">
        <f>'DB_Aspen simulation_previous'!H151</f>
        <v>4.1065437036743099E-237</v>
      </c>
      <c r="I66" s="54">
        <f>'DB_Aspen simulation_previous'!I151</f>
        <v>547.080316299478</v>
      </c>
      <c r="J66" s="54">
        <f>'DB_Aspen simulation_previous'!J151</f>
        <v>175.79057698104401</v>
      </c>
      <c r="K66" s="54">
        <f>'DB_Aspen simulation_previous'!K151</f>
        <v>11304.4703351516</v>
      </c>
      <c r="L66" s="54">
        <f>'DB_Aspen simulation_previous'!L151</f>
        <v>5.20155955420885E-16</v>
      </c>
      <c r="M66" s="54">
        <f>'DB_Aspen simulation_previous'!M151</f>
        <v>0</v>
      </c>
      <c r="N66" s="68">
        <f>'DB_Aspen simulation_previous'!N151</f>
        <v>0</v>
      </c>
    </row>
    <row r="67" spans="1:19">
      <c r="B67" s="67" t="str">
        <f>'DB_Aspen simulation_previous'!B152</f>
        <v>NAP</v>
      </c>
      <c r="C67" s="50" t="str">
        <f>'DB_Aspen simulation_previous'!C152</f>
        <v>kg/hr</v>
      </c>
      <c r="D67" s="54">
        <f>'DB_Aspen simulation_previous'!D152</f>
        <v>0</v>
      </c>
      <c r="E67" s="54">
        <f>'DB_Aspen simulation_previous'!E152</f>
        <v>0</v>
      </c>
      <c r="F67" s="54">
        <f>'DB_Aspen simulation_previous'!F152</f>
        <v>2.32225974659644E-54</v>
      </c>
      <c r="G67" s="54">
        <f>'DB_Aspen simulation_previous'!G152</f>
        <v>4238.5610838294897</v>
      </c>
      <c r="H67" s="54">
        <f>'DB_Aspen simulation_previous'!H152</f>
        <v>0</v>
      </c>
      <c r="I67" s="54">
        <f>'DB_Aspen simulation_previous'!I152</f>
        <v>9.59645124082786E-4</v>
      </c>
      <c r="J67" s="54">
        <f>'DB_Aspen simulation_previous'!J152</f>
        <v>4127.0752527107397</v>
      </c>
      <c r="K67" s="54">
        <f>'DB_Aspen simulation_previous'!K152</f>
        <v>111.3875655392</v>
      </c>
      <c r="L67" s="54">
        <f>'DB_Aspen simulation_previous'!L152</f>
        <v>0</v>
      </c>
      <c r="M67" s="54">
        <f>'DB_Aspen simulation_previous'!M152</f>
        <v>0</v>
      </c>
      <c r="N67" s="68">
        <f>'DB_Aspen simulation_previous'!N152</f>
        <v>0</v>
      </c>
    </row>
    <row r="68" spans="1:19">
      <c r="B68" s="67" t="str">
        <f>'DB_Aspen simulation_previous'!B153</f>
        <v>C</v>
      </c>
      <c r="C68" s="50" t="str">
        <f>'DB_Aspen simulation_previous'!C153</f>
        <v>kg/hr</v>
      </c>
      <c r="D68" s="54">
        <f>'DB_Aspen simulation_previous'!D153</f>
        <v>0</v>
      </c>
      <c r="E68" s="54">
        <f>'DB_Aspen simulation_previous'!E153</f>
        <v>0</v>
      </c>
      <c r="F68" s="54">
        <f>'DB_Aspen simulation_previous'!F153</f>
        <v>0</v>
      </c>
      <c r="G68" s="54">
        <f>'DB_Aspen simulation_previous'!G153</f>
        <v>0</v>
      </c>
      <c r="H68" s="54">
        <f>'DB_Aspen simulation_previous'!H153</f>
        <v>0</v>
      </c>
      <c r="I68" s="54">
        <f>'DB_Aspen simulation_previous'!I153</f>
        <v>0</v>
      </c>
      <c r="J68" s="54">
        <f>'DB_Aspen simulation_previous'!J153</f>
        <v>0</v>
      </c>
      <c r="K68" s="54">
        <f>'DB_Aspen simulation_previous'!K153</f>
        <v>0</v>
      </c>
      <c r="L68" s="54">
        <f>'DB_Aspen simulation_previous'!L153</f>
        <v>0</v>
      </c>
      <c r="M68" s="54">
        <f>'DB_Aspen simulation_previous'!M153</f>
        <v>0</v>
      </c>
      <c r="N68" s="68">
        <f>'DB_Aspen simulation_previous'!N153</f>
        <v>16719.342027499999</v>
      </c>
    </row>
    <row r="69" spans="1:19">
      <c r="B69" s="67" t="str">
        <f>'DB_Aspen simulation_previous'!B154</f>
        <v>WATER</v>
      </c>
      <c r="C69" s="50" t="str">
        <f>'DB_Aspen simulation_previous'!C154</f>
        <v>kg/hr</v>
      </c>
      <c r="D69" s="54">
        <f>'DB_Aspen simulation_previous'!D154</f>
        <v>0</v>
      </c>
      <c r="E69" s="54">
        <f>'DB_Aspen simulation_previous'!E154</f>
        <v>0</v>
      </c>
      <c r="F69" s="54">
        <f>'DB_Aspen simulation_previous'!F154</f>
        <v>0</v>
      </c>
      <c r="G69" s="54">
        <f>'DB_Aspen simulation_previous'!G154</f>
        <v>0</v>
      </c>
      <c r="H69" s="54">
        <f>'DB_Aspen simulation_previous'!H154</f>
        <v>0</v>
      </c>
      <c r="I69" s="54">
        <f>'DB_Aspen simulation_previous'!I154</f>
        <v>0</v>
      </c>
      <c r="J69" s="54">
        <f>'DB_Aspen simulation_previous'!J154</f>
        <v>0</v>
      </c>
      <c r="K69" s="54">
        <f>'DB_Aspen simulation_previous'!K154</f>
        <v>0</v>
      </c>
      <c r="L69" s="54">
        <f>'DB_Aspen simulation_previous'!L154</f>
        <v>0</v>
      </c>
      <c r="M69" s="54">
        <f>'DB_Aspen simulation_previous'!M154</f>
        <v>0</v>
      </c>
      <c r="N69" s="68">
        <f>'DB_Aspen simulation_previous'!N154</f>
        <v>0</v>
      </c>
    </row>
    <row r="70" spans="1:19">
      <c r="B70" s="67" t="str">
        <f>'DB_Aspen simulation_previous'!B155</f>
        <v>O2</v>
      </c>
      <c r="C70" s="50" t="str">
        <f>'DB_Aspen simulation_previous'!C155</f>
        <v>kg/hr</v>
      </c>
      <c r="D70" s="54">
        <f>'DB_Aspen simulation_previous'!D155</f>
        <v>0</v>
      </c>
      <c r="E70" s="54">
        <f>'DB_Aspen simulation_previous'!E155</f>
        <v>44798.32</v>
      </c>
      <c r="F70" s="54">
        <f>'DB_Aspen simulation_previous'!F155</f>
        <v>0</v>
      </c>
      <c r="G70" s="54">
        <f>'DB_Aspen simulation_previous'!G155</f>
        <v>0</v>
      </c>
      <c r="H70" s="54">
        <f>'DB_Aspen simulation_previous'!H155</f>
        <v>0</v>
      </c>
      <c r="I70" s="54">
        <f>'DB_Aspen simulation_previous'!I155</f>
        <v>0</v>
      </c>
      <c r="J70" s="54">
        <f>'DB_Aspen simulation_previous'!J155</f>
        <v>0</v>
      </c>
      <c r="K70" s="54">
        <f>'DB_Aspen simulation_previous'!K155</f>
        <v>0</v>
      </c>
      <c r="L70" s="54">
        <f>'DB_Aspen simulation_previous'!L155</f>
        <v>0</v>
      </c>
      <c r="M70" s="54">
        <f>'DB_Aspen simulation_previous'!M155</f>
        <v>255.91040300000199</v>
      </c>
      <c r="N70" s="68">
        <f>'DB_Aspen simulation_previous'!N155</f>
        <v>0</v>
      </c>
    </row>
    <row r="71" spans="1:19">
      <c r="B71" s="67" t="str">
        <f>'DB_Aspen simulation_previous'!B156</f>
        <v>CO2</v>
      </c>
      <c r="C71" s="50" t="str">
        <f>'DB_Aspen simulation_previous'!C156</f>
        <v>kg/hr</v>
      </c>
      <c r="D71" s="54">
        <f>'DB_Aspen simulation_previous'!D156</f>
        <v>0</v>
      </c>
      <c r="E71" s="54">
        <f>'DB_Aspen simulation_previous'!E156</f>
        <v>0</v>
      </c>
      <c r="F71" s="54">
        <f>'DB_Aspen simulation_previous'!F156</f>
        <v>0</v>
      </c>
      <c r="G71" s="54">
        <f>'DB_Aspen simulation_previous'!G156</f>
        <v>0</v>
      </c>
      <c r="H71" s="54">
        <f>'DB_Aspen simulation_previous'!H156</f>
        <v>0</v>
      </c>
      <c r="I71" s="54">
        <f>'DB_Aspen simulation_previous'!I156</f>
        <v>0</v>
      </c>
      <c r="J71" s="54">
        <f>'DB_Aspen simulation_previous'!J156</f>
        <v>0</v>
      </c>
      <c r="K71" s="54">
        <f>'DB_Aspen simulation_previous'!K156</f>
        <v>0</v>
      </c>
      <c r="L71" s="54">
        <f>'DB_Aspen simulation_previous'!L156</f>
        <v>0</v>
      </c>
      <c r="M71" s="54">
        <f>'DB_Aspen simulation_previous'!M156</f>
        <v>61261.751624500197</v>
      </c>
      <c r="N71" s="68">
        <f>'DB_Aspen simulation_previous'!N156</f>
        <v>0</v>
      </c>
    </row>
    <row r="72" spans="1:19" ht="17.25" thickBot="1">
      <c r="B72" s="70" t="str">
        <f>'DB_Aspen simulation_previous'!B170</f>
        <v>Volume Flow</v>
      </c>
      <c r="C72" s="71" t="str">
        <f>'DB_Aspen simulation_previous'!C170</f>
        <v>cum/hr</v>
      </c>
      <c r="D72" s="166">
        <f>'DB_Aspen simulation_previous'!D170</f>
        <v>327437.64971695602</v>
      </c>
      <c r="E72" s="166">
        <f>'DB_Aspen simulation_previous'!E170</f>
        <v>3502.90289429615</v>
      </c>
      <c r="F72" s="166">
        <f>'DB_Aspen simulation_previous'!F170</f>
        <v>27389526.075531099</v>
      </c>
      <c r="G72" s="166">
        <f>'DB_Aspen simulation_previous'!G170</f>
        <v>28557235.373459201</v>
      </c>
      <c r="H72" s="166">
        <f>'DB_Aspen simulation_previous'!H170</f>
        <v>98.383621473182401</v>
      </c>
      <c r="I72" s="166">
        <f>'DB_Aspen simulation_previous'!I170</f>
        <v>109.683432849323</v>
      </c>
      <c r="J72" s="166">
        <f>'DB_Aspen simulation_previous'!J170</f>
        <v>4.4462477291806</v>
      </c>
      <c r="K72" s="166">
        <f>'DB_Aspen simulation_previous'!K170</f>
        <v>21.7610625336041</v>
      </c>
      <c r="L72" s="166">
        <f>'DB_Aspen simulation_previous'!L170</f>
        <v>13181.879415298899</v>
      </c>
      <c r="M72" s="166">
        <f>'DB_Aspen simulation_previous'!M170</f>
        <v>116788.17724538399</v>
      </c>
      <c r="N72" s="167">
        <f>'DB_Aspen simulation_previous'!N170</f>
        <v>28.5550454362414</v>
      </c>
    </row>
    <row r="73" spans="1:19" ht="17.25" thickBot="1">
      <c r="A73" s="42"/>
    </row>
    <row r="74" spans="1:19" ht="21" thickBot="1">
      <c r="A74" s="42"/>
      <c r="B74" s="954" t="s">
        <v>619</v>
      </c>
      <c r="C74" s="955"/>
      <c r="D74" s="955"/>
      <c r="E74" s="955"/>
      <c r="F74" s="956"/>
      <c r="G74" s="142"/>
    </row>
    <row r="75" spans="1:19">
      <c r="B75" s="110" t="s">
        <v>586</v>
      </c>
      <c r="C75" s="111"/>
      <c r="D75" s="111"/>
      <c r="E75" s="111"/>
      <c r="F75" s="112">
        <f>(F48-G48)/F48</f>
        <v>0.30350447647927947</v>
      </c>
    </row>
    <row r="76" spans="1:19">
      <c r="B76" s="113" t="s">
        <v>610</v>
      </c>
      <c r="C76" s="114"/>
      <c r="D76" s="114"/>
      <c r="E76" s="114"/>
      <c r="F76" s="115">
        <f>H46*2/D46</f>
        <v>0.32912480401401556</v>
      </c>
    </row>
    <row r="77" spans="1:19" ht="17.25" thickBot="1">
      <c r="B77" s="116" t="s">
        <v>611</v>
      </c>
      <c r="C77" s="117"/>
      <c r="D77" s="117"/>
      <c r="E77" s="117"/>
      <c r="F77" s="118">
        <f>(SUM(H49:I51)*2+J54*10+J53*6+K53*6+K54*10)/D48</f>
        <v>0.82729831053156133</v>
      </c>
    </row>
    <row r="78" spans="1:19" ht="17.25" thickBot="1"/>
    <row r="79" spans="1:19" ht="21" thickBot="1">
      <c r="A79" s="42"/>
      <c r="B79" s="942" t="s">
        <v>620</v>
      </c>
      <c r="C79" s="943"/>
      <c r="D79" s="943"/>
      <c r="E79" s="943"/>
      <c r="F79" s="944"/>
      <c r="G79" s="144"/>
      <c r="H79" s="309" t="s">
        <v>803</v>
      </c>
      <c r="I79" s="309" t="s">
        <v>802</v>
      </c>
      <c r="J79" s="309" t="s">
        <v>804</v>
      </c>
    </row>
    <row r="80" spans="1:19">
      <c r="A80" s="42"/>
      <c r="B80" s="119" t="s">
        <v>630</v>
      </c>
      <c r="C80" s="120"/>
      <c r="D80" s="120"/>
      <c r="E80" s="120"/>
      <c r="F80" s="121">
        <f>F88/(F84+F94)</f>
        <v>0.14525820262732211</v>
      </c>
      <c r="G80" s="143"/>
      <c r="H80" s="123" t="s">
        <v>131</v>
      </c>
      <c r="I80" s="123">
        <v>55.5</v>
      </c>
      <c r="J80" s="243">
        <f t="shared" ref="J80:J89" si="1">I80/3.6</f>
        <v>15.416666666666666</v>
      </c>
      <c r="M80">
        <v>169696.100091853</v>
      </c>
      <c r="N80" s="82">
        <f>M80*I80</f>
        <v>9418133.5550978426</v>
      </c>
      <c r="O80" t="s">
        <v>672</v>
      </c>
      <c r="S80" s="82"/>
    </row>
    <row r="81" spans="1:19">
      <c r="A81" s="42"/>
      <c r="B81" s="124" t="s">
        <v>631</v>
      </c>
      <c r="C81" s="123"/>
      <c r="D81" s="123"/>
      <c r="E81" s="123"/>
      <c r="F81" s="125">
        <f>F87/(F84+F94)</f>
        <v>0.59750678001729585</v>
      </c>
      <c r="G81" s="143"/>
      <c r="H81" s="123" t="s">
        <v>132</v>
      </c>
      <c r="I81" s="123">
        <v>141.69999999999999</v>
      </c>
      <c r="J81" s="243">
        <f t="shared" si="1"/>
        <v>39.361111111111107</v>
      </c>
      <c r="N81" s="330">
        <v>2250</v>
      </c>
      <c r="O81" t="s">
        <v>847</v>
      </c>
      <c r="S81" s="82"/>
    </row>
    <row r="82" spans="1:19">
      <c r="A82" s="42"/>
      <c r="B82" s="124" t="s">
        <v>703</v>
      </c>
      <c r="C82" s="123"/>
      <c r="D82" s="123"/>
      <c r="E82" s="123"/>
      <c r="F82" s="125">
        <f>F81-(F87/(F84+F94+F100))</f>
        <v>1.6735927234543202E-2</v>
      </c>
      <c r="G82" s="143"/>
      <c r="H82" s="123" t="s">
        <v>133</v>
      </c>
      <c r="I82" s="123">
        <v>51.9</v>
      </c>
      <c r="J82" s="243">
        <f t="shared" si="1"/>
        <v>14.416666666666666</v>
      </c>
      <c r="S82" s="82"/>
    </row>
    <row r="83" spans="1:19">
      <c r="B83" s="124"/>
      <c r="C83" s="123"/>
      <c r="D83" s="123"/>
      <c r="E83" s="123"/>
      <c r="F83" s="125"/>
      <c r="H83" s="123" t="s">
        <v>134</v>
      </c>
      <c r="I83" s="123">
        <v>50.3</v>
      </c>
      <c r="J83" s="243">
        <f t="shared" si="1"/>
        <v>13.972222222222221</v>
      </c>
      <c r="S83" s="82"/>
    </row>
    <row r="84" spans="1:19">
      <c r="B84" s="127" t="s">
        <v>593</v>
      </c>
      <c r="C84" s="139"/>
      <c r="D84" s="139"/>
      <c r="E84" s="123"/>
      <c r="F84" s="147">
        <f>F85</f>
        <v>11741173.050024001</v>
      </c>
      <c r="H84" s="123" t="s">
        <v>135</v>
      </c>
      <c r="I84" s="123">
        <v>49.9</v>
      </c>
      <c r="J84" s="243">
        <f t="shared" si="1"/>
        <v>13.861111111111111</v>
      </c>
      <c r="S84" s="82"/>
    </row>
    <row r="85" spans="1:19">
      <c r="B85" s="127"/>
      <c r="C85" s="139" t="s">
        <v>592</v>
      </c>
      <c r="D85" s="139"/>
      <c r="E85" s="123"/>
      <c r="F85" s="147">
        <f>D61*I80</f>
        <v>11741173.050024001</v>
      </c>
      <c r="H85" s="123" t="s">
        <v>136</v>
      </c>
      <c r="I85" s="123">
        <v>41.8</v>
      </c>
      <c r="J85" s="243">
        <f t="shared" si="1"/>
        <v>11.611111111111111</v>
      </c>
      <c r="S85" s="82"/>
    </row>
    <row r="86" spans="1:19">
      <c r="B86" s="140"/>
      <c r="C86" s="139"/>
      <c r="D86" s="139"/>
      <c r="E86" s="123"/>
      <c r="F86" s="147"/>
      <c r="H86" s="123" t="s">
        <v>137</v>
      </c>
      <c r="I86" s="243">
        <f>17303*2.326/1000</f>
        <v>40.246777999999999</v>
      </c>
      <c r="J86" s="243">
        <f t="shared" si="1"/>
        <v>11.179660555555555</v>
      </c>
      <c r="S86" s="82"/>
    </row>
    <row r="87" spans="1:19">
      <c r="B87" s="140" t="s">
        <v>594</v>
      </c>
      <c r="C87" s="139"/>
      <c r="D87" s="139"/>
      <c r="E87" s="123"/>
      <c r="F87" s="147">
        <f>SUM(F88:F92)</f>
        <v>12592256.69457173</v>
      </c>
      <c r="H87" s="123" t="s">
        <v>91</v>
      </c>
      <c r="I87" s="243">
        <v>32.799999999999997</v>
      </c>
      <c r="J87" s="243">
        <f t="shared" si="1"/>
        <v>9.1111111111111107</v>
      </c>
      <c r="S87" s="82"/>
    </row>
    <row r="88" spans="1:19">
      <c r="B88" s="127"/>
      <c r="C88" s="139" t="s">
        <v>587</v>
      </c>
      <c r="D88" s="139"/>
      <c r="E88" s="123"/>
      <c r="F88" s="147">
        <f>H63*I83+H64*I84</f>
        <v>3061268.3163568564</v>
      </c>
      <c r="H88" s="306" t="s">
        <v>799</v>
      </c>
      <c r="I88" s="307">
        <v>45.75</v>
      </c>
      <c r="J88" s="243">
        <f t="shared" si="1"/>
        <v>12.708333333333332</v>
      </c>
      <c r="S88" s="82"/>
    </row>
    <row r="89" spans="1:19">
      <c r="B89" s="140"/>
      <c r="C89" s="139" t="s">
        <v>588</v>
      </c>
      <c r="D89" s="139"/>
      <c r="E89" s="123"/>
      <c r="F89" s="147">
        <f>I62*I82+I63*I83+I64*I84+I66*I85</f>
        <v>3535700.502716423</v>
      </c>
      <c r="H89" s="123" t="s">
        <v>797</v>
      </c>
      <c r="I89" s="308">
        <v>40.588999999999999</v>
      </c>
      <c r="J89" s="243">
        <f t="shared" si="1"/>
        <v>11.274722222222222</v>
      </c>
      <c r="S89" s="82"/>
    </row>
    <row r="90" spans="1:19">
      <c r="B90" s="140"/>
      <c r="C90" s="139" t="s">
        <v>589</v>
      </c>
      <c r="D90" s="139"/>
      <c r="E90" s="123"/>
      <c r="F90" s="147">
        <f>K66*I85+K67*I86</f>
        <v>477009.85063155351</v>
      </c>
      <c r="S90" s="82"/>
    </row>
    <row r="91" spans="1:19">
      <c r="B91" s="140"/>
      <c r="C91" s="139" t="s">
        <v>590</v>
      </c>
      <c r="D91" s="139"/>
      <c r="E91" s="123"/>
      <c r="F91" s="147">
        <f>J61*I80+J62*I82+J63*I83+J64*I84+J66*I85+J67*I86</f>
        <v>173952.37503542719</v>
      </c>
      <c r="S91" s="82"/>
    </row>
    <row r="92" spans="1:19">
      <c r="B92" s="140"/>
      <c r="C92" s="139" t="s">
        <v>591</v>
      </c>
      <c r="D92" s="139"/>
      <c r="E92" s="123"/>
      <c r="F92" s="147">
        <f>L60*I81+L61*I80+L63*I83+L64*I84</f>
        <v>5344325.6498314682</v>
      </c>
      <c r="S92" s="82"/>
    </row>
    <row r="93" spans="1:19">
      <c r="B93" s="140"/>
      <c r="C93" s="139"/>
      <c r="D93" s="139"/>
      <c r="E93" s="123"/>
      <c r="F93" s="147"/>
      <c r="S93" s="82"/>
    </row>
    <row r="94" spans="1:19">
      <c r="B94" s="140" t="s">
        <v>595</v>
      </c>
      <c r="C94" s="139"/>
      <c r="D94" s="139"/>
      <c r="E94" s="123"/>
      <c r="F94" s="147">
        <f>SUM(F95:F99)</f>
        <v>9333494.4109999985</v>
      </c>
      <c r="H94" s="304">
        <f>F94/3.6</f>
        <v>2592637.3363888883</v>
      </c>
    </row>
    <row r="95" spans="1:19">
      <c r="B95" s="140"/>
      <c r="C95" s="139" t="s">
        <v>596</v>
      </c>
      <c r="D95" s="139"/>
      <c r="E95" s="123"/>
      <c r="F95" s="147">
        <f>'DB_Aspen simulation_previous'!L173</f>
        <v>1106742.9610000001</v>
      </c>
      <c r="G95" s="141">
        <f>F95/3.6</f>
        <v>307428.60027777782</v>
      </c>
    </row>
    <row r="96" spans="1:19">
      <c r="B96" s="140"/>
      <c r="C96" s="139" t="s">
        <v>597</v>
      </c>
      <c r="D96" s="139"/>
      <c r="E96" s="123"/>
      <c r="F96" s="147">
        <f>'DB_Aspen simulation_previous'!L182</f>
        <v>3447411</v>
      </c>
      <c r="G96" s="141">
        <f>F96/3.6</f>
        <v>957614.16666666663</v>
      </c>
    </row>
    <row r="97" spans="2:7">
      <c r="B97" s="140"/>
      <c r="C97" s="139" t="s">
        <v>187</v>
      </c>
      <c r="D97" s="139"/>
      <c r="E97" s="123"/>
      <c r="F97" s="147">
        <f>'DB_Aspen simulation_previous'!L195</f>
        <v>4484990</v>
      </c>
      <c r="G97" s="141">
        <f>F97/3.6</f>
        <v>1245830.5555555555</v>
      </c>
    </row>
    <row r="98" spans="2:7">
      <c r="B98" s="140"/>
      <c r="C98" s="139" t="s">
        <v>598</v>
      </c>
      <c r="D98" s="139"/>
      <c r="E98" s="123"/>
      <c r="F98" s="147">
        <f>'DB_Aspen simulation_previous'!L200</f>
        <v>7114.45</v>
      </c>
      <c r="G98" s="141">
        <f>F98/3.6</f>
        <v>1976.2361111111111</v>
      </c>
    </row>
    <row r="99" spans="2:7">
      <c r="B99" s="140"/>
      <c r="C99" s="139" t="s">
        <v>599</v>
      </c>
      <c r="D99" s="139"/>
      <c r="E99" s="123"/>
      <c r="F99" s="147">
        <f>'DB_Aspen simulation_previous'!L205</f>
        <v>287236</v>
      </c>
      <c r="G99" s="141">
        <f>F99/3.6</f>
        <v>79787.777777777781</v>
      </c>
    </row>
    <row r="100" spans="2:7" ht="17.25" thickBot="1">
      <c r="B100" s="191" t="s">
        <v>704</v>
      </c>
      <c r="C100" s="122"/>
      <c r="D100" s="122"/>
      <c r="E100" s="192"/>
      <c r="F100" s="193">
        <v>607303.37865599897</v>
      </c>
    </row>
    <row r="101" spans="2:7">
      <c r="E101" s="82"/>
    </row>
    <row r="102" spans="2:7">
      <c r="E102" s="82"/>
    </row>
    <row r="103" spans="2:7">
      <c r="E103" s="82"/>
    </row>
    <row r="104" spans="2:7">
      <c r="E104" s="82"/>
    </row>
    <row r="105" spans="2:7">
      <c r="E105" s="82"/>
    </row>
    <row r="106" spans="2:7">
      <c r="E106" s="82"/>
    </row>
    <row r="110" spans="2:7">
      <c r="G110" s="82"/>
    </row>
  </sheetData>
  <mergeCells count="6">
    <mergeCell ref="B79:F79"/>
    <mergeCell ref="H2:J2"/>
    <mergeCell ref="H12:J12"/>
    <mergeCell ref="B2:F2"/>
    <mergeCell ref="B44:N44"/>
    <mergeCell ref="B74:F74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B5BF-754A-4440-94E0-A6D7944D8A03}">
  <dimension ref="B1:EE251"/>
  <sheetViews>
    <sheetView topLeftCell="A34" zoomScale="70" zoomScaleNormal="70" workbookViewId="0">
      <selection activeCell="BE68" sqref="BE68"/>
    </sheetView>
  </sheetViews>
  <sheetFormatPr defaultColWidth="9.125" defaultRowHeight="16.5"/>
  <cols>
    <col min="1" max="1" width="9.125" style="288"/>
    <col min="2" max="2" width="14.125" style="288" customWidth="1"/>
    <col min="3" max="3" width="27.875" style="288" customWidth="1"/>
    <col min="4" max="4" width="14.25" style="288" customWidth="1"/>
    <col min="5" max="5" width="16.125" style="288" customWidth="1"/>
    <col min="6" max="6" width="36.75" style="288" bestFit="1" customWidth="1"/>
    <col min="7" max="7" width="17.5" style="288" customWidth="1"/>
    <col min="8" max="8" width="13.75" style="288" customWidth="1"/>
    <col min="9" max="9" width="14.25" style="288" customWidth="1"/>
    <col min="10" max="10" width="14.5" style="288" bestFit="1" customWidth="1"/>
    <col min="11" max="11" width="49.5" style="288" bestFit="1" customWidth="1"/>
    <col min="12" max="12" width="27.875" style="288" customWidth="1"/>
    <col min="13" max="13" width="14.5" style="288" bestFit="1" customWidth="1"/>
    <col min="14" max="14" width="20.125" style="288" bestFit="1" customWidth="1"/>
    <col min="15" max="15" width="11.5" style="288" bestFit="1" customWidth="1"/>
    <col min="16" max="16" width="15.5" style="288" customWidth="1"/>
    <col min="17" max="17" width="27.875" style="288" customWidth="1"/>
    <col min="18" max="18" width="33.5" style="288" customWidth="1"/>
    <col min="19" max="19" width="27.625" style="288" bestFit="1" customWidth="1"/>
    <col min="20" max="20" width="9.125" style="288"/>
    <col min="21" max="21" width="26.5" style="288" customWidth="1"/>
    <col min="22" max="22" width="21.25" style="288" customWidth="1"/>
    <col min="23" max="23" width="18.5" style="288" customWidth="1"/>
    <col min="24" max="24" width="17" style="288" customWidth="1"/>
    <col min="25" max="25" width="15.5" style="288" customWidth="1"/>
    <col min="26" max="26" width="16.5" style="288" customWidth="1"/>
    <col min="27" max="27" width="19" style="288" customWidth="1"/>
    <col min="28" max="28" width="18.75" style="288" customWidth="1"/>
    <col min="29" max="29" width="18.5" style="288" customWidth="1"/>
    <col min="30" max="30" width="15.5" style="288" customWidth="1"/>
    <col min="31" max="31" width="16.25" style="288" customWidth="1"/>
    <col min="32" max="32" width="17" style="288" customWidth="1"/>
    <col min="33" max="33" width="19.875" style="288" customWidth="1"/>
    <col min="34" max="34" width="32.875" style="288" bestFit="1" customWidth="1"/>
    <col min="35" max="36" width="9.125" style="288"/>
    <col min="37" max="37" width="36" style="288" bestFit="1" customWidth="1"/>
    <col min="38" max="38" width="32.875" style="288" bestFit="1" customWidth="1"/>
    <col min="39" max="40" width="9.125" style="288"/>
    <col min="41" max="41" width="36" style="288" bestFit="1" customWidth="1"/>
    <col min="42" max="42" width="32.875" style="288" bestFit="1" customWidth="1"/>
    <col min="43" max="44" width="9.125" style="288"/>
    <col min="45" max="45" width="37.375" style="288" bestFit="1" customWidth="1"/>
    <col min="46" max="46" width="32.875" style="288" bestFit="1" customWidth="1"/>
    <col min="47" max="50" width="9.125" style="288"/>
    <col min="51" max="51" width="37.375" style="288" bestFit="1" customWidth="1"/>
    <col min="52" max="52" width="32.875" style="288" bestFit="1" customWidth="1"/>
    <col min="53" max="55" width="9.125" style="288"/>
    <col min="56" max="56" width="37.375" style="288" bestFit="1" customWidth="1"/>
    <col min="57" max="57" width="32.875" style="288" bestFit="1" customWidth="1"/>
    <col min="58" max="60" width="9.125" style="288"/>
    <col min="61" max="61" width="37.375" style="288" bestFit="1" customWidth="1"/>
    <col min="62" max="62" width="32.875" style="288" bestFit="1" customWidth="1"/>
    <col min="63" max="65" width="9.125" style="288"/>
    <col min="66" max="66" width="13.375" style="288" bestFit="1" customWidth="1"/>
    <col min="67" max="67" width="37.375" style="288" bestFit="1" customWidth="1"/>
    <col min="68" max="68" width="32.875" style="288" bestFit="1" customWidth="1"/>
    <col min="69" max="73" width="9.125" style="288"/>
    <col min="74" max="74" width="37.375" style="288" bestFit="1" customWidth="1"/>
    <col min="75" max="75" width="32.875" style="288" bestFit="1" customWidth="1"/>
    <col min="76" max="79" width="9.125" style="288"/>
    <col min="80" max="80" width="37.375" style="288" bestFit="1" customWidth="1"/>
    <col min="81" max="81" width="32.875" style="288" bestFit="1" customWidth="1"/>
    <col min="82" max="85" width="9.125" style="288"/>
    <col min="86" max="86" width="37.375" style="288" bestFit="1" customWidth="1"/>
    <col min="87" max="87" width="32.875" style="288" bestFit="1" customWidth="1"/>
    <col min="88" max="90" width="9.125" style="288"/>
    <col min="91" max="91" width="37.375" style="288" bestFit="1" customWidth="1"/>
    <col min="92" max="92" width="32.875" style="288" bestFit="1" customWidth="1"/>
    <col min="93" max="94" width="9.125" style="288"/>
    <col min="95" max="95" width="37.375" style="288" bestFit="1" customWidth="1"/>
    <col min="96" max="96" width="32.875" style="288" bestFit="1" customWidth="1"/>
    <col min="97" max="98" width="9.125" style="288"/>
    <col min="99" max="99" width="37.375" style="288" bestFit="1" customWidth="1"/>
    <col min="100" max="100" width="32.875" style="288" bestFit="1" customWidth="1"/>
    <col min="101" max="102" width="9.125" style="288"/>
    <col min="103" max="103" width="37.375" style="288" bestFit="1" customWidth="1"/>
    <col min="104" max="104" width="32.875" style="288" bestFit="1" customWidth="1"/>
    <col min="105" max="106" width="9.125" style="288"/>
    <col min="107" max="107" width="37.375" style="288" bestFit="1" customWidth="1"/>
    <col min="108" max="108" width="32.875" style="288" bestFit="1" customWidth="1"/>
    <col min="109" max="110" width="9.125" style="288"/>
    <col min="111" max="111" width="37.375" style="288" bestFit="1" customWidth="1"/>
    <col min="112" max="112" width="32.875" style="288" bestFit="1" customWidth="1"/>
    <col min="113" max="114" width="9.125" style="288"/>
    <col min="115" max="115" width="37.375" style="288" bestFit="1" customWidth="1"/>
    <col min="116" max="116" width="32.875" style="288" bestFit="1" customWidth="1"/>
    <col min="117" max="118" width="9.125" style="288"/>
    <col min="119" max="119" width="37.375" style="288" bestFit="1" customWidth="1"/>
    <col min="120" max="120" width="32.875" style="288" bestFit="1" customWidth="1"/>
    <col min="121" max="16384" width="9.125" style="288"/>
  </cols>
  <sheetData>
    <row r="1" spans="2:19">
      <c r="D1" s="858" t="s">
        <v>1147</v>
      </c>
      <c r="E1" s="858" t="s">
        <v>1148</v>
      </c>
      <c r="F1" s="858" t="s">
        <v>1149</v>
      </c>
      <c r="G1" s="858" t="s">
        <v>1150</v>
      </c>
      <c r="H1" s="858" t="s">
        <v>1164</v>
      </c>
      <c r="I1" s="858" t="s">
        <v>1166</v>
      </c>
      <c r="J1" s="858" t="s">
        <v>1167</v>
      </c>
      <c r="K1" s="858" t="s">
        <v>1168</v>
      </c>
      <c r="L1" s="858" t="s">
        <v>1172</v>
      </c>
      <c r="M1" s="858" t="s">
        <v>1174</v>
      </c>
      <c r="N1" s="858" t="s">
        <v>1176</v>
      </c>
      <c r="O1" s="858" t="s">
        <v>1178</v>
      </c>
      <c r="P1" s="858" t="s">
        <v>1180</v>
      </c>
      <c r="Q1" s="858" t="s">
        <v>1182</v>
      </c>
      <c r="R1" s="858" t="s">
        <v>1184</v>
      </c>
      <c r="S1" s="858" t="s">
        <v>1186</v>
      </c>
    </row>
    <row r="2" spans="2:19">
      <c r="D2" s="288">
        <f>G119</f>
        <v>732766906.60053885</v>
      </c>
      <c r="E2" s="288">
        <f>L119</f>
        <v>602597871.11143911</v>
      </c>
      <c r="F2" s="288">
        <f>Q119</f>
        <v>550787260.07424557</v>
      </c>
      <c r="G2" s="288">
        <f>V119</f>
        <v>498619216.82420719</v>
      </c>
      <c r="H2" s="288">
        <f>Z120</f>
        <v>797115112.22903681</v>
      </c>
      <c r="I2" s="288">
        <f>AD120</f>
        <v>665104637.95027149</v>
      </c>
      <c r="J2" s="288">
        <f>AH119</f>
        <v>605710221.57178926</v>
      </c>
      <c r="K2" s="288">
        <f>AL119</f>
        <v>552740330.74172473</v>
      </c>
      <c r="L2" s="288">
        <f>AP119</f>
        <v>770456097.05996788</v>
      </c>
      <c r="M2" s="288">
        <f>AT119</f>
        <v>614134993.42082047</v>
      </c>
      <c r="N2" s="288">
        <f>AZ119</f>
        <v>545290363.25848532</v>
      </c>
      <c r="O2" s="288">
        <f>BE119</f>
        <v>484943499.41317427</v>
      </c>
      <c r="P2" s="288">
        <f>BJ121</f>
        <v>773978897.05996788</v>
      </c>
      <c r="Q2" s="288">
        <f>BP119</f>
        <v>621472893.42082047</v>
      </c>
      <c r="R2" s="288">
        <f>BW119</f>
        <v>553072363.25848532</v>
      </c>
      <c r="S2" s="288">
        <f>CC119</f>
        <v>499025999.41317427</v>
      </c>
    </row>
    <row r="3" spans="2:19">
      <c r="C3" s="288" t="s">
        <v>773</v>
      </c>
      <c r="D3" s="858" t="s">
        <v>1147</v>
      </c>
      <c r="E3" s="858" t="s">
        <v>1148</v>
      </c>
      <c r="F3" s="858" t="s">
        <v>1149</v>
      </c>
      <c r="G3" s="858" t="s">
        <v>1150</v>
      </c>
      <c r="H3" s="858" t="s">
        <v>1164</v>
      </c>
      <c r="I3" s="858" t="s">
        <v>1166</v>
      </c>
      <c r="J3" s="858" t="s">
        <v>1167</v>
      </c>
      <c r="K3" s="858" t="s">
        <v>1168</v>
      </c>
      <c r="L3" s="858" t="s">
        <v>1172</v>
      </c>
      <c r="M3" s="858" t="s">
        <v>1174</v>
      </c>
      <c r="N3" s="858" t="s">
        <v>1176</v>
      </c>
      <c r="O3" s="858" t="s">
        <v>1178</v>
      </c>
      <c r="P3" s="858" t="s">
        <v>1180</v>
      </c>
      <c r="Q3" s="858" t="s">
        <v>1182</v>
      </c>
      <c r="R3" s="858" t="s">
        <v>1184</v>
      </c>
      <c r="S3" s="858" t="s">
        <v>1186</v>
      </c>
    </row>
    <row r="4" spans="2:19">
      <c r="B4" s="288" t="s">
        <v>907</v>
      </c>
      <c r="C4" s="288">
        <f>C67</f>
        <v>185069297.65272826</v>
      </c>
      <c r="D4" s="288">
        <f>G68</f>
        <v>288548904.77866608</v>
      </c>
      <c r="E4" s="288">
        <f>L68</f>
        <v>242113671.34141234</v>
      </c>
      <c r="F4" s="288">
        <f>Q68</f>
        <v>213409595.22845855</v>
      </c>
      <c r="G4" s="288">
        <f>V68</f>
        <v>194064606.29992181</v>
      </c>
      <c r="H4" s="288">
        <f>G196</f>
        <v>0</v>
      </c>
      <c r="I4" s="288">
        <f>L196</f>
        <v>0</v>
      </c>
      <c r="J4" s="288">
        <f>Q196</f>
        <v>0</v>
      </c>
      <c r="K4" s="288">
        <f>V196</f>
        <v>0</v>
      </c>
    </row>
    <row r="5" spans="2:19">
      <c r="B5" s="288" t="s">
        <v>864</v>
      </c>
      <c r="C5" s="288">
        <f>SUM(C69:C70)</f>
        <v>257484230.37535846</v>
      </c>
      <c r="D5" s="288">
        <f>SUM(G70:G71)</f>
        <v>310056850.10347557</v>
      </c>
      <c r="E5" s="288">
        <f>SUM(L70:L71)</f>
        <v>242118279.85498628</v>
      </c>
      <c r="F5" s="288">
        <f>SUM(Q70:Q71)</f>
        <v>219632935.21140352</v>
      </c>
      <c r="G5" s="288">
        <f>SUM(V70:V71)</f>
        <v>181404259.94287264</v>
      </c>
      <c r="H5" s="288">
        <f>SUM(G198:G199)</f>
        <v>0</v>
      </c>
      <c r="I5" s="288">
        <f>SUM(L198:L199)</f>
        <v>0</v>
      </c>
      <c r="J5" s="288">
        <f>SUM(Q198:Q199)</f>
        <v>0</v>
      </c>
      <c r="K5" s="288">
        <f>SUM(V198:V199)</f>
        <v>0</v>
      </c>
    </row>
    <row r="6" spans="2:19">
      <c r="B6" s="288" t="s">
        <v>908</v>
      </c>
      <c r="C6" s="288">
        <f>SUM(C72:C80)</f>
        <v>9109200</v>
      </c>
      <c r="D6" s="288">
        <f>SUM(G73:G81)</f>
        <v>15300600</v>
      </c>
      <c r="E6" s="288">
        <f>SUM(L73:L81)</f>
        <v>11359600</v>
      </c>
      <c r="F6" s="288">
        <f>SUM(Q73:Q81)</f>
        <v>12226000</v>
      </c>
      <c r="G6" s="288">
        <f>SUM(V73:V81)</f>
        <v>13574200</v>
      </c>
      <c r="H6" s="288">
        <f>SUM(G201:G209)</f>
        <v>515387809.6547454</v>
      </c>
      <c r="I6" s="288">
        <f>SUM(L201:L209)</f>
        <v>432102511.36964452</v>
      </c>
      <c r="J6" s="288">
        <f>SUM(Q201:Q209)</f>
        <v>364184673.71876049</v>
      </c>
      <c r="K6" s="288">
        <f>SUM(V201:V209)</f>
        <v>308679727.135355</v>
      </c>
    </row>
    <row r="7" spans="2:19">
      <c r="B7" s="288" t="s">
        <v>609</v>
      </c>
      <c r="C7" s="288">
        <f>SUM(C82:C90)</f>
        <v>29679385.654899139</v>
      </c>
      <c r="D7" s="288">
        <f>SUM(G83:G90)</f>
        <v>20612435.647662949</v>
      </c>
      <c r="E7" s="288">
        <f>SUM(L83:L90)</f>
        <v>13869518.392628733</v>
      </c>
      <c r="F7" s="288">
        <f>SUM(Q83:Q90)</f>
        <v>12835182.1467626</v>
      </c>
      <c r="G7" s="288">
        <f>SUM(V83:V90)</f>
        <v>17577885.715388402</v>
      </c>
      <c r="H7" s="288">
        <f>SUM(G211:G218)</f>
        <v>41309000</v>
      </c>
      <c r="I7" s="288">
        <f>SUM(L211:L218)</f>
        <v>28807400</v>
      </c>
      <c r="J7" s="288">
        <f>SUM(Q211:Q218)</f>
        <v>17011500</v>
      </c>
      <c r="K7" s="288">
        <f>SUM(V211:V234)</f>
        <v>149029914.57202512</v>
      </c>
    </row>
    <row r="8" spans="2:19">
      <c r="B8" s="288" t="s">
        <v>1026</v>
      </c>
      <c r="C8" s="288">
        <f>C96</f>
        <v>60444580.453421965</v>
      </c>
      <c r="D8" s="288">
        <f>G97</f>
        <v>51057361.280568272</v>
      </c>
      <c r="E8" s="288">
        <f>L96</f>
        <v>0</v>
      </c>
      <c r="F8" s="288">
        <f>Q96</f>
        <v>54590486.923184544</v>
      </c>
      <c r="G8" s="288">
        <f>V96</f>
        <v>56885625.927022129</v>
      </c>
      <c r="H8" s="288">
        <f>G224</f>
        <v>42649768.721426256</v>
      </c>
      <c r="I8" s="288">
        <f>L224</f>
        <v>39075309.774093218</v>
      </c>
      <c r="J8" s="288">
        <f>Q224</f>
        <v>37937766.927865364</v>
      </c>
      <c r="K8" s="288">
        <f>V224</f>
        <v>35480933.258085482</v>
      </c>
    </row>
    <row r="9" spans="2:19">
      <c r="B9" s="747" t="s">
        <v>1070</v>
      </c>
      <c r="C9" s="747"/>
      <c r="D9" s="747">
        <f>SUM(G99:G118)</f>
        <v>0</v>
      </c>
      <c r="E9" s="747">
        <f>SUM(L98:L118)</f>
        <v>0</v>
      </c>
      <c r="F9" s="747">
        <f>SUM(Q98:Q118)</f>
        <v>0</v>
      </c>
      <c r="G9" s="747">
        <f>SUM(V98:V118)</f>
        <v>0</v>
      </c>
      <c r="H9" s="747">
        <f>SUM(G226:G241)</f>
        <v>71827105.12452659</v>
      </c>
      <c r="I9" s="747">
        <f>SUM(L226:L241)</f>
        <v>70587561.265238404</v>
      </c>
      <c r="J9" s="747">
        <f>SUM(Q226:Q241)</f>
        <v>71144212.43622753</v>
      </c>
      <c r="K9" s="747">
        <f>SUM(V226:V241)</f>
        <v>71508975.622877821</v>
      </c>
      <c r="M9" s="747"/>
    </row>
    <row r="10" spans="2:19">
      <c r="B10" s="288" t="s">
        <v>904</v>
      </c>
      <c r="C10" s="288">
        <f>SUM(C92:C94)</f>
        <v>20608098.266289905</v>
      </c>
      <c r="D10" s="288">
        <f>SUM(G93:G95)</f>
        <v>931227.11568095186</v>
      </c>
      <c r="E10" s="288">
        <f>SUM(L92:L94)</f>
        <v>38881493.926482983</v>
      </c>
      <c r="F10" s="288">
        <f>SUM(Q92:Q94)</f>
        <v>38093060.564436316</v>
      </c>
      <c r="G10" s="288">
        <f>SUM(V92:V94)</f>
        <v>35112638.939002201</v>
      </c>
      <c r="H10" s="288">
        <f>SUM(G220:G222)</f>
        <v>1594200</v>
      </c>
      <c r="I10" s="288">
        <f>SUM(L220:L222)</f>
        <v>1236400</v>
      </c>
      <c r="J10" s="288">
        <f>SUM(Q220:Q222)</f>
        <v>1736800</v>
      </c>
      <c r="K10" s="288">
        <f>SUM(V92:V94)</f>
        <v>35112638.939002201</v>
      </c>
    </row>
    <row r="11" spans="2:19">
      <c r="B11" s="312" t="s">
        <v>909</v>
      </c>
      <c r="C11" s="312">
        <f>SUM(C4:C10)</f>
        <v>562394792.4026978</v>
      </c>
      <c r="D11" s="312">
        <f t="shared" ref="D11:G11" si="0">SUM(D4:D10)</f>
        <v>686507378.92605376</v>
      </c>
      <c r="E11" s="312">
        <f t="shared" si="0"/>
        <v>548342563.51551032</v>
      </c>
      <c r="F11" s="312">
        <f t="shared" si="0"/>
        <v>550787260.07424557</v>
      </c>
      <c r="G11" s="312">
        <f t="shared" si="0"/>
        <v>498619216.82420725</v>
      </c>
      <c r="H11" s="312">
        <f>SUM(H4:H10)</f>
        <v>672767883.50069821</v>
      </c>
      <c r="I11" s="312">
        <f>SUM(I4:I10)</f>
        <v>571809182.40897608</v>
      </c>
      <c r="J11" s="312">
        <f>SUM(J4:J10)</f>
        <v>492014953.08285344</v>
      </c>
      <c r="K11" s="312">
        <f>SUM(K4:K10)</f>
        <v>599812189.52734554</v>
      </c>
      <c r="M11" s="312"/>
    </row>
    <row r="12" spans="2:19">
      <c r="K12" s="288">
        <f>K11-K8</f>
        <v>564331256.26926005</v>
      </c>
    </row>
    <row r="13" spans="2:19">
      <c r="B13" s="288" t="s">
        <v>907</v>
      </c>
      <c r="C13" s="501">
        <f t="shared" ref="C13:G19" si="1">C4/C$11</f>
        <v>0.32907363324269728</v>
      </c>
      <c r="D13" s="501">
        <f t="shared" si="1"/>
        <v>0.42031435296451014</v>
      </c>
      <c r="E13" s="501">
        <f t="shared" si="1"/>
        <v>0.44153725690959233</v>
      </c>
      <c r="F13" s="501">
        <f t="shared" si="1"/>
        <v>0.38746283855529112</v>
      </c>
      <c r="G13" s="501">
        <f t="shared" si="1"/>
        <v>0.38920402534012455</v>
      </c>
      <c r="H13"/>
      <c r="I13" s="501"/>
      <c r="J13" s="501"/>
      <c r="K13" s="501"/>
    </row>
    <row r="14" spans="2:19">
      <c r="B14" s="288" t="s">
        <v>864</v>
      </c>
      <c r="C14" s="501">
        <f t="shared" si="1"/>
        <v>0.45783537446233885</v>
      </c>
      <c r="D14" s="501">
        <f t="shared" si="1"/>
        <v>0.45164387102221221</v>
      </c>
      <c r="E14" s="501">
        <f t="shared" si="1"/>
        <v>0.44154566135214446</v>
      </c>
      <c r="F14" s="501">
        <f t="shared" si="1"/>
        <v>0.39876182898964879</v>
      </c>
      <c r="G14" s="501">
        <f t="shared" si="1"/>
        <v>0.36381321421638746</v>
      </c>
      <c r="H14"/>
      <c r="I14" s="501"/>
      <c r="J14" s="501"/>
      <c r="K14" s="501"/>
    </row>
    <row r="15" spans="2:19">
      <c r="B15" s="288" t="s">
        <v>908</v>
      </c>
      <c r="C15" s="501">
        <f t="shared" si="1"/>
        <v>1.6197162781474404E-2</v>
      </c>
      <c r="D15" s="501">
        <f t="shared" si="1"/>
        <v>2.2287597292742406E-2</v>
      </c>
      <c r="E15" s="501">
        <f t="shared" si="1"/>
        <v>2.0716247024801102E-2</v>
      </c>
      <c r="F15" s="501">
        <f t="shared" si="1"/>
        <v>2.2197318068598659E-2</v>
      </c>
      <c r="G15" s="501">
        <f t="shared" si="1"/>
        <v>2.7223579721729233E-2</v>
      </c>
      <c r="H15"/>
      <c r="I15" s="501"/>
      <c r="J15" s="501"/>
      <c r="K15" s="501"/>
    </row>
    <row r="16" spans="2:19">
      <c r="B16" s="288" t="s">
        <v>609</v>
      </c>
      <c r="C16" s="501">
        <f t="shared" si="1"/>
        <v>5.2773222753541217E-2</v>
      </c>
      <c r="D16" s="501">
        <f t="shared" si="1"/>
        <v>3.0025075156378166E-2</v>
      </c>
      <c r="E16" s="501">
        <f t="shared" si="1"/>
        <v>2.5293528745441666E-2</v>
      </c>
      <c r="F16" s="501">
        <f t="shared" si="1"/>
        <v>2.3303338833640469E-2</v>
      </c>
      <c r="G16" s="501">
        <f t="shared" si="1"/>
        <v>3.525312527532537E-2</v>
      </c>
      <c r="H16"/>
      <c r="I16" s="501"/>
      <c r="J16" s="501"/>
      <c r="K16" s="501"/>
    </row>
    <row r="17" spans="2:104">
      <c r="B17" s="288" t="s">
        <v>1073</v>
      </c>
      <c r="C17" s="501">
        <f t="shared" si="1"/>
        <v>0.10747713398124989</v>
      </c>
      <c r="D17" s="501">
        <f t="shared" si="1"/>
        <v>7.4372632906641853E-2</v>
      </c>
      <c r="E17" s="501">
        <f t="shared" si="1"/>
        <v>0</v>
      </c>
      <c r="F17" s="501">
        <f t="shared" si="1"/>
        <v>9.9113561406314665E-2</v>
      </c>
      <c r="G17" s="501">
        <f t="shared" si="1"/>
        <v>0.11408630876550768</v>
      </c>
      <c r="H17"/>
      <c r="I17" s="501"/>
      <c r="J17" s="501"/>
      <c r="K17" s="501"/>
    </row>
    <row r="18" spans="2:104">
      <c r="B18" s="747" t="s">
        <v>1070</v>
      </c>
      <c r="C18" s="758"/>
      <c r="D18" s="758"/>
      <c r="E18" s="758"/>
      <c r="F18" s="758"/>
      <c r="G18" s="758"/>
      <c r="H18"/>
      <c r="I18" s="501"/>
      <c r="J18" s="501"/>
      <c r="K18" s="501"/>
    </row>
    <row r="19" spans="2:104">
      <c r="B19" s="288" t="s">
        <v>904</v>
      </c>
      <c r="C19" s="501">
        <f t="shared" si="1"/>
        <v>3.6643472778698241E-2</v>
      </c>
      <c r="D19" s="501">
        <f t="shared" si="1"/>
        <v>1.3564706575153328E-3</v>
      </c>
      <c r="E19" s="501">
        <f t="shared" si="1"/>
        <v>7.0907305968020459E-2</v>
      </c>
      <c r="F19" s="501">
        <f t="shared" si="1"/>
        <v>6.9161114146506233E-2</v>
      </c>
      <c r="G19" s="501">
        <f t="shared" si="1"/>
        <v>7.0419746680925627E-2</v>
      </c>
      <c r="H19"/>
    </row>
    <row r="20" spans="2:104">
      <c r="C20" s="288" t="s">
        <v>773</v>
      </c>
      <c r="D20" s="288" t="s">
        <v>774</v>
      </c>
      <c r="E20" s="288" t="s">
        <v>775</v>
      </c>
      <c r="F20" s="288" t="s">
        <v>776</v>
      </c>
      <c r="G20" s="288" t="s">
        <v>912</v>
      </c>
      <c r="H20"/>
      <c r="I20" s="195"/>
      <c r="J20" s="195"/>
      <c r="K20" s="195"/>
    </row>
    <row r="21" spans="2:104">
      <c r="B21" s="288" t="s">
        <v>907</v>
      </c>
      <c r="C21" s="195">
        <f t="shared" ref="C21:G25" si="2">C4*(C$27/C$11)</f>
        <v>832500042.96357405</v>
      </c>
      <c r="D21" s="195">
        <f t="shared" si="2"/>
        <v>1301264034.222224</v>
      </c>
      <c r="E21" s="195">
        <f t="shared" si="2"/>
        <v>1004012524.0478686</v>
      </c>
      <c r="F21" s="195">
        <f t="shared" si="2"/>
        <v>765288959.7767179</v>
      </c>
      <c r="G21" s="195">
        <f>G4*(G$27/G$11)</f>
        <v>697495902.34050643</v>
      </c>
      <c r="H21"/>
      <c r="I21" s="195"/>
      <c r="J21" s="195"/>
      <c r="K21" s="195"/>
    </row>
    <row r="22" spans="2:104">
      <c r="B22" s="288" t="s">
        <v>864</v>
      </c>
      <c r="C22" s="195">
        <f t="shared" si="2"/>
        <v>1158245238.7762046</v>
      </c>
      <c r="D22" s="195">
        <f t="shared" si="2"/>
        <v>1398258045.4199467</v>
      </c>
      <c r="E22" s="195">
        <f t="shared" si="2"/>
        <v>1004031634.9279765</v>
      </c>
      <c r="F22" s="195">
        <f t="shared" si="2"/>
        <v>787605919.69028831</v>
      </c>
      <c r="G22" s="195">
        <f t="shared" si="2"/>
        <v>651992809.97029865</v>
      </c>
      <c r="H22"/>
      <c r="I22" s="195"/>
      <c r="J22" s="195"/>
      <c r="K22" s="195"/>
    </row>
    <row r="23" spans="2:104">
      <c r="B23" s="288" t="s">
        <v>908</v>
      </c>
      <c r="C23" s="195">
        <f t="shared" si="2"/>
        <v>40976053.22733549</v>
      </c>
      <c r="D23" s="195">
        <f t="shared" si="2"/>
        <v>69000852.723016873</v>
      </c>
      <c r="E23" s="195">
        <f t="shared" si="2"/>
        <v>47106718.943150274</v>
      </c>
      <c r="F23" s="195">
        <f t="shared" si="2"/>
        <v>43842559.2448828</v>
      </c>
      <c r="G23" s="195">
        <f t="shared" si="2"/>
        <v>48787612.837129265</v>
      </c>
      <c r="H23"/>
      <c r="I23" s="195"/>
      <c r="J23" s="195"/>
      <c r="K23" s="195"/>
    </row>
    <row r="24" spans="2:104">
      <c r="B24" s="288" t="s">
        <v>609</v>
      </c>
      <c r="C24" s="195">
        <f t="shared" si="2"/>
        <v>133507232.94578718</v>
      </c>
      <c r="D24" s="195">
        <f t="shared" si="2"/>
        <v>92955546.605169341</v>
      </c>
      <c r="E24" s="195">
        <f t="shared" si="2"/>
        <v>57515009.753725052</v>
      </c>
      <c r="F24" s="195">
        <f t="shared" si="2"/>
        <v>46027092.564068489</v>
      </c>
      <c r="G24" s="195">
        <f t="shared" si="2"/>
        <v>63177430.918777853</v>
      </c>
      <c r="H24"/>
      <c r="I24" s="195"/>
      <c r="J24" s="195"/>
      <c r="K24" s="195"/>
    </row>
    <row r="25" spans="2:104">
      <c r="B25" s="288" t="s">
        <v>1026</v>
      </c>
      <c r="C25" s="195">
        <f t="shared" si="2"/>
        <v>271898777.71520889</v>
      </c>
      <c r="D25" s="195">
        <f t="shared" si="2"/>
        <v>230252504.2250863</v>
      </c>
      <c r="E25" s="195">
        <f t="shared" si="2"/>
        <v>0</v>
      </c>
      <c r="F25" s="195">
        <f t="shared" si="2"/>
        <v>195762036.40902326</v>
      </c>
      <c r="G25" s="195">
        <f t="shared" si="2"/>
        <v>204455061.34618011</v>
      </c>
      <c r="H25"/>
      <c r="I25" s="195"/>
      <c r="J25" s="195"/>
      <c r="K25" s="195"/>
    </row>
    <row r="26" spans="2:104">
      <c r="B26" s="288" t="s">
        <v>904</v>
      </c>
      <c r="C26" s="195">
        <f t="shared" ref="C26:G26" si="3">C10*(C$27/C$11)</f>
        <v>92701722.596238464</v>
      </c>
      <c r="D26" s="195">
        <f t="shared" si="3"/>
        <v>4199538.9109434374</v>
      </c>
      <c r="E26" s="195">
        <f t="shared" si="3"/>
        <v>161236276.49605957</v>
      </c>
      <c r="F26" s="195">
        <f t="shared" si="3"/>
        <v>136602099.18331489</v>
      </c>
      <c r="G26" s="195">
        <f t="shared" si="3"/>
        <v>126199837.50393753</v>
      </c>
      <c r="H26"/>
      <c r="I26" s="513"/>
      <c r="J26" s="513"/>
      <c r="K26" s="513"/>
    </row>
    <row r="27" spans="2:104">
      <c r="B27" s="512" t="s">
        <v>913</v>
      </c>
      <c r="C27" s="513">
        <v>2529829068.224349</v>
      </c>
      <c r="D27" s="513">
        <v>3095930522.1063867</v>
      </c>
      <c r="E27" s="513">
        <v>2273902164.1687799</v>
      </c>
      <c r="F27" s="513">
        <v>1975128666.8682957</v>
      </c>
      <c r="G27" s="513">
        <v>1792108654.9168301</v>
      </c>
      <c r="H27"/>
    </row>
    <row r="31" spans="2:104">
      <c r="BO31" s="288" t="s">
        <v>1144</v>
      </c>
      <c r="BP31" s="288" t="s">
        <v>1145</v>
      </c>
    </row>
    <row r="32" spans="2:104">
      <c r="AC32" s="288" t="s">
        <v>1144</v>
      </c>
      <c r="AD32" s="288" t="s">
        <v>1145</v>
      </c>
      <c r="AK32" s="288" t="s">
        <v>1144</v>
      </c>
      <c r="AL32" s="288" t="s">
        <v>1145</v>
      </c>
      <c r="AY32" s="288" t="s">
        <v>1144</v>
      </c>
      <c r="AZ32" s="288" t="s">
        <v>1145</v>
      </c>
      <c r="BO32" s="288">
        <v>43608.101698999999</v>
      </c>
      <c r="BP32" s="288">
        <f>BO32/10.764</f>
        <v>4051.2914993496843</v>
      </c>
      <c r="CY32" s="288" t="s">
        <v>1144</v>
      </c>
      <c r="CZ32" s="288" t="s">
        <v>1145</v>
      </c>
    </row>
    <row r="33" spans="6:120">
      <c r="F33" t="s">
        <v>1188</v>
      </c>
      <c r="G33">
        <v>1426</v>
      </c>
      <c r="H33" t="s">
        <v>1189</v>
      </c>
      <c r="I33" t="s">
        <v>1190</v>
      </c>
      <c r="J33">
        <v>1.2226001076611299</v>
      </c>
      <c r="K33">
        <f>693100*(J33/G33)^(0.67)</f>
        <v>6109.6507437938853</v>
      </c>
      <c r="AC33" s="288">
        <v>592959.46260199999</v>
      </c>
      <c r="AD33" s="288">
        <f>AC33/10.764</f>
        <v>55087.278205314011</v>
      </c>
      <c r="AK33" s="288">
        <v>38603.066013000003</v>
      </c>
      <c r="AL33" s="288">
        <f>AK33/10.764</f>
        <v>3586.312338628763</v>
      </c>
      <c r="AY33" s="288">
        <v>1233624.3682889999</v>
      </c>
      <c r="AZ33" s="288">
        <f>AY33/10.764</f>
        <v>114606.50021265328</v>
      </c>
      <c r="CY33" s="288">
        <v>0.13856599999999999</v>
      </c>
      <c r="CZ33" s="288">
        <f>CY33/10.764</f>
        <v>1.2873095503530286E-2</v>
      </c>
    </row>
    <row r="35" spans="6:120">
      <c r="F35" s="288" t="s">
        <v>1144</v>
      </c>
      <c r="G35" s="288" t="s">
        <v>1145</v>
      </c>
    </row>
    <row r="36" spans="6:120">
      <c r="F36" s="288">
        <v>968555.42809299997</v>
      </c>
      <c r="G36" s="288">
        <f>F36/10.764</f>
        <v>89980.994806112969</v>
      </c>
      <c r="BO36" t="s">
        <v>1140</v>
      </c>
      <c r="BP36" s="801">
        <v>2</v>
      </c>
      <c r="BQ36" t="s">
        <v>1141</v>
      </c>
      <c r="BR36" t="s">
        <v>1142</v>
      </c>
      <c r="BS36" s="802">
        <v>4051.2914993496843</v>
      </c>
      <c r="BT36" s="802">
        <f>15500*(BS36/BP36)^0.59</f>
        <v>1384216.9452087353</v>
      </c>
    </row>
    <row r="37" spans="6:120">
      <c r="AC37" t="s">
        <v>1140</v>
      </c>
      <c r="AD37" s="801">
        <v>2</v>
      </c>
      <c r="AE37" t="s">
        <v>1141</v>
      </c>
      <c r="AF37" t="s">
        <v>1142</v>
      </c>
      <c r="AG37" s="802">
        <v>55087.278205314011</v>
      </c>
      <c r="AH37" s="802">
        <f>15500*(AG37/AD37)^0.59</f>
        <v>6455713.9175175233</v>
      </c>
      <c r="AK37" t="s">
        <v>1140</v>
      </c>
      <c r="AL37" s="801">
        <v>2</v>
      </c>
      <c r="AM37" t="s">
        <v>1141</v>
      </c>
      <c r="AN37" t="s">
        <v>1142</v>
      </c>
      <c r="AO37" s="802">
        <v>3586.312338628763</v>
      </c>
      <c r="AP37" s="802">
        <f>15500*(AO37/AL37)^0.59</f>
        <v>1288149.8457818395</v>
      </c>
      <c r="AY37" t="s">
        <v>1140</v>
      </c>
      <c r="AZ37" s="801">
        <v>2</v>
      </c>
      <c r="BA37" t="s">
        <v>1141</v>
      </c>
      <c r="BB37" t="s">
        <v>1142</v>
      </c>
      <c r="BC37" s="802">
        <v>114606.50021265328</v>
      </c>
      <c r="BD37" s="802">
        <f>15500*(BC37/AZ37)^0.59</f>
        <v>9946206.1987735238</v>
      </c>
      <c r="CY37" t="s">
        <v>1140</v>
      </c>
      <c r="CZ37" s="801">
        <v>2</v>
      </c>
      <c r="DA37" t="s">
        <v>1141</v>
      </c>
      <c r="DB37" t="s">
        <v>1142</v>
      </c>
      <c r="DC37" s="802">
        <v>1.2873095503530286E-2</v>
      </c>
      <c r="DD37" s="802">
        <f>15500*(DC37/CZ37)^0.59</f>
        <v>789.65422894820802</v>
      </c>
    </row>
    <row r="40" spans="6:120">
      <c r="F40" t="s">
        <v>1140</v>
      </c>
      <c r="G40" s="801">
        <v>2</v>
      </c>
      <c r="H40" t="s">
        <v>1141</v>
      </c>
      <c r="I40" t="s">
        <v>1142</v>
      </c>
      <c r="J40" s="802">
        <v>89980.994806112969</v>
      </c>
      <c r="K40" s="802">
        <f>15500*(J40/G40)^0.59</f>
        <v>8623289.5115294065</v>
      </c>
    </row>
    <row r="46" spans="6:120">
      <c r="F46" s="288" t="s">
        <v>1086</v>
      </c>
      <c r="G46" s="288">
        <v>0</v>
      </c>
      <c r="K46" s="288" t="s">
        <v>1086</v>
      </c>
      <c r="L46" s="288">
        <v>0</v>
      </c>
      <c r="P46" s="288" t="s">
        <v>1086</v>
      </c>
      <c r="Q46" s="288">
        <v>0</v>
      </c>
      <c r="U46" s="288" t="s">
        <v>1086</v>
      </c>
      <c r="V46" s="288">
        <v>0</v>
      </c>
      <c r="Y46" s="288" t="s">
        <v>1086</v>
      </c>
      <c r="Z46" s="288">
        <v>0</v>
      </c>
      <c r="AA46"/>
      <c r="AB46"/>
      <c r="AC46" s="288" t="s">
        <v>1086</v>
      </c>
      <c r="AD46" s="288">
        <v>0</v>
      </c>
      <c r="AG46" s="288" t="s">
        <v>1086</v>
      </c>
      <c r="AH46" s="288">
        <v>0</v>
      </c>
      <c r="AK46" s="288" t="s">
        <v>1086</v>
      </c>
      <c r="AL46" s="288">
        <v>0</v>
      </c>
      <c r="AO46" s="288" t="s">
        <v>1086</v>
      </c>
      <c r="AP46" s="288">
        <v>0</v>
      </c>
      <c r="AS46" s="288" t="s">
        <v>1086</v>
      </c>
      <c r="AT46" s="288">
        <v>0</v>
      </c>
      <c r="AY46" s="288" t="s">
        <v>1086</v>
      </c>
      <c r="AZ46" s="288">
        <v>0</v>
      </c>
      <c r="BD46" s="288" t="s">
        <v>1086</v>
      </c>
      <c r="BE46" s="288">
        <v>0</v>
      </c>
      <c r="BI46" s="288" t="s">
        <v>1086</v>
      </c>
      <c r="BJ46" s="288">
        <v>0</v>
      </c>
      <c r="BO46" s="288" t="s">
        <v>1086</v>
      </c>
      <c r="BP46" s="288">
        <v>0</v>
      </c>
      <c r="BV46" s="288" t="s">
        <v>1086</v>
      </c>
      <c r="BW46" s="288">
        <v>0</v>
      </c>
      <c r="CB46" s="288" t="s">
        <v>1086</v>
      </c>
      <c r="CC46" s="288">
        <v>0</v>
      </c>
      <c r="CH46" s="288" t="s">
        <v>1086</v>
      </c>
      <c r="CI46" s="288">
        <v>0</v>
      </c>
      <c r="CM46" s="288" t="s">
        <v>1086</v>
      </c>
      <c r="CN46" s="288">
        <v>0</v>
      </c>
      <c r="CQ46" s="288" t="s">
        <v>1086</v>
      </c>
      <c r="CR46" s="288">
        <v>0</v>
      </c>
      <c r="CU46" s="288" t="s">
        <v>1086</v>
      </c>
      <c r="CV46" s="288">
        <v>0</v>
      </c>
      <c r="CY46" s="288" t="s">
        <v>1086</v>
      </c>
      <c r="CZ46" s="288">
        <v>0</v>
      </c>
      <c r="DC46" s="288" t="s">
        <v>1086</v>
      </c>
      <c r="DD46" s="288">
        <v>0</v>
      </c>
      <c r="DG46" s="288" t="s">
        <v>1086</v>
      </c>
      <c r="DH46" s="288">
        <v>0</v>
      </c>
      <c r="DK46" s="288" t="s">
        <v>1086</v>
      </c>
      <c r="DL46" s="288">
        <v>0</v>
      </c>
      <c r="DO46" s="288" t="s">
        <v>1086</v>
      </c>
      <c r="DP46" s="288">
        <v>0</v>
      </c>
    </row>
    <row r="47" spans="6:120">
      <c r="G47" s="288">
        <v>705400</v>
      </c>
      <c r="L47" s="288">
        <v>28900</v>
      </c>
      <c r="Q47" s="288">
        <v>177800</v>
      </c>
      <c r="V47" s="288">
        <v>99700</v>
      </c>
      <c r="Z47" s="288">
        <v>39600</v>
      </c>
      <c r="AA47"/>
      <c r="AB47"/>
      <c r="AD47" s="288">
        <v>28900</v>
      </c>
      <c r="AH47" s="288">
        <v>177800</v>
      </c>
      <c r="AP47" s="288">
        <v>42500</v>
      </c>
      <c r="AT47" s="288">
        <v>29200</v>
      </c>
      <c r="AZ47" s="288">
        <v>200800</v>
      </c>
      <c r="BE47" s="288">
        <v>8800</v>
      </c>
      <c r="BJ47" s="288">
        <v>39200</v>
      </c>
      <c r="BP47" s="288">
        <v>32900</v>
      </c>
      <c r="BW47" s="288">
        <v>353400</v>
      </c>
      <c r="CC47" s="288">
        <v>9400</v>
      </c>
      <c r="CI47" s="288">
        <v>11700</v>
      </c>
      <c r="CN47" s="288">
        <v>12500</v>
      </c>
      <c r="CR47" s="288">
        <v>723000</v>
      </c>
      <c r="CV47" s="288">
        <v>11600</v>
      </c>
      <c r="CZ47" s="288">
        <v>702700</v>
      </c>
      <c r="DD47" s="288">
        <v>698200</v>
      </c>
      <c r="DH47" s="288">
        <v>595900</v>
      </c>
      <c r="DL47" s="288">
        <v>610000</v>
      </c>
      <c r="DP47" s="288">
        <v>601300</v>
      </c>
    </row>
    <row r="48" spans="6:120">
      <c r="G48" s="288">
        <v>51700</v>
      </c>
      <c r="L48" s="288">
        <v>21600</v>
      </c>
      <c r="Q48" s="288">
        <v>65300</v>
      </c>
      <c r="V48" s="288">
        <v>59300</v>
      </c>
      <c r="Z48" s="288">
        <v>26000</v>
      </c>
      <c r="AA48"/>
      <c r="AB48"/>
      <c r="AD48" s="288">
        <v>21600</v>
      </c>
      <c r="AH48" s="288">
        <v>65300</v>
      </c>
      <c r="AL48" s="288">
        <v>18600</v>
      </c>
      <c r="AP48" s="288">
        <v>26400</v>
      </c>
      <c r="AT48" s="288">
        <v>22000</v>
      </c>
      <c r="AZ48" s="288">
        <v>99000</v>
      </c>
      <c r="BE48" s="288">
        <v>18600</v>
      </c>
      <c r="BJ48" s="288">
        <v>26400</v>
      </c>
      <c r="BP48" s="288">
        <v>22000</v>
      </c>
      <c r="BW48" s="288">
        <v>146900</v>
      </c>
      <c r="CC48" s="288">
        <v>18600</v>
      </c>
      <c r="CI48" s="288">
        <v>18600</v>
      </c>
      <c r="CN48" s="288">
        <v>18600</v>
      </c>
      <c r="CR48" s="288">
        <v>54100</v>
      </c>
      <c r="CV48" s="288">
        <v>18600</v>
      </c>
      <c r="CZ48" s="288">
        <v>51700</v>
      </c>
      <c r="DD48" s="288">
        <v>51700</v>
      </c>
      <c r="DH48" s="288">
        <v>77500</v>
      </c>
      <c r="DL48" s="288">
        <v>78000</v>
      </c>
      <c r="DP48" s="288">
        <v>78000</v>
      </c>
    </row>
    <row r="49" spans="6:135">
      <c r="G49" s="288">
        <v>0</v>
      </c>
      <c r="L49" s="288">
        <v>0</v>
      </c>
      <c r="Q49" s="288">
        <v>0</v>
      </c>
      <c r="V49" s="288">
        <v>0</v>
      </c>
      <c r="Z49" s="288">
        <v>0</v>
      </c>
      <c r="AA49"/>
      <c r="AB49"/>
      <c r="AD49" s="288">
        <v>0</v>
      </c>
      <c r="AH49" s="288">
        <v>0</v>
      </c>
      <c r="AL49" s="288">
        <v>0</v>
      </c>
      <c r="AP49" s="288">
        <v>0</v>
      </c>
      <c r="AT49" s="288">
        <v>0</v>
      </c>
      <c r="AZ49" s="288">
        <v>0</v>
      </c>
      <c r="BE49" s="288">
        <v>0</v>
      </c>
      <c r="BJ49" s="288">
        <v>0</v>
      </c>
      <c r="BP49" s="288">
        <v>0</v>
      </c>
      <c r="BW49" s="288">
        <v>0</v>
      </c>
      <c r="CC49" s="288">
        <v>0</v>
      </c>
      <c r="CI49" s="288">
        <v>0</v>
      </c>
      <c r="CN49" s="288">
        <v>0</v>
      </c>
      <c r="CR49" s="288">
        <v>0</v>
      </c>
      <c r="CV49" s="288">
        <v>0</v>
      </c>
      <c r="CZ49" s="288">
        <v>0</v>
      </c>
      <c r="DD49" s="288">
        <v>0</v>
      </c>
      <c r="DH49" s="288">
        <v>0</v>
      </c>
      <c r="DL49" s="288">
        <v>0</v>
      </c>
      <c r="DP49" s="288">
        <v>0</v>
      </c>
    </row>
    <row r="50" spans="6:135">
      <c r="G50" s="288">
        <v>672500</v>
      </c>
      <c r="L50" s="288">
        <v>75200</v>
      </c>
      <c r="Q50" s="288">
        <v>240400</v>
      </c>
      <c r="V50" s="288">
        <v>329800</v>
      </c>
      <c r="Z50" s="288">
        <v>112300</v>
      </c>
      <c r="AA50"/>
      <c r="AB50"/>
      <c r="AD50" s="288">
        <v>75400</v>
      </c>
      <c r="AH50" s="288">
        <v>240100</v>
      </c>
      <c r="AL50" s="288">
        <v>127900</v>
      </c>
      <c r="AP50" s="288">
        <v>126900</v>
      </c>
      <c r="AT50" s="288">
        <v>78000</v>
      </c>
      <c r="AZ50" s="288">
        <v>480500</v>
      </c>
      <c r="BE50" s="288">
        <v>131600</v>
      </c>
      <c r="BJ50" s="288">
        <v>123500</v>
      </c>
      <c r="BP50" s="288">
        <v>115200</v>
      </c>
      <c r="BW50" s="288">
        <v>733900</v>
      </c>
      <c r="CC50" s="288">
        <v>138400</v>
      </c>
      <c r="CI50" s="288">
        <v>23000</v>
      </c>
      <c r="CN50" s="288">
        <v>30700</v>
      </c>
      <c r="CR50" s="288">
        <v>719900</v>
      </c>
      <c r="CV50" s="288">
        <v>23200</v>
      </c>
      <c r="CZ50" s="288">
        <v>688300</v>
      </c>
      <c r="DD50" s="288">
        <v>675800</v>
      </c>
      <c r="DH50" s="288">
        <v>2546900</v>
      </c>
      <c r="DL50" s="288">
        <v>2422600</v>
      </c>
      <c r="DP50" s="288">
        <v>3408200</v>
      </c>
    </row>
    <row r="51" spans="6:135">
      <c r="G51" s="288">
        <v>30100</v>
      </c>
      <c r="L51" s="288">
        <v>6300</v>
      </c>
      <c r="Q51" s="288">
        <v>13600</v>
      </c>
      <c r="V51" s="288">
        <v>12300</v>
      </c>
      <c r="Z51" s="288">
        <v>7000</v>
      </c>
      <c r="AA51"/>
      <c r="AB51"/>
      <c r="AD51" s="288">
        <v>6300</v>
      </c>
      <c r="AH51" s="288">
        <v>13500</v>
      </c>
      <c r="AL51" s="288">
        <v>5000</v>
      </c>
      <c r="AP51" s="288">
        <v>7200</v>
      </c>
      <c r="AT51" s="288">
        <v>6300</v>
      </c>
      <c r="AZ51" s="288">
        <v>19200</v>
      </c>
      <c r="BE51" s="288">
        <v>5000</v>
      </c>
      <c r="BJ51" s="288">
        <v>7000</v>
      </c>
      <c r="BP51" s="288">
        <v>6400</v>
      </c>
      <c r="BW51" s="288">
        <v>32900</v>
      </c>
      <c r="CC51" s="288">
        <v>5000</v>
      </c>
      <c r="CI51" s="288">
        <v>5000</v>
      </c>
      <c r="CN51" s="288">
        <v>5000</v>
      </c>
      <c r="CR51" s="288">
        <v>30300</v>
      </c>
      <c r="CV51" s="288">
        <v>5000</v>
      </c>
      <c r="CZ51" s="288">
        <v>30000</v>
      </c>
      <c r="DD51" s="288">
        <v>29900</v>
      </c>
      <c r="DH51" s="288">
        <v>25800</v>
      </c>
      <c r="DL51" s="288">
        <v>28300</v>
      </c>
      <c r="DP51" s="288">
        <v>28200</v>
      </c>
    </row>
    <row r="52" spans="6:135">
      <c r="G52" s="288">
        <v>3612600</v>
      </c>
      <c r="L52" s="288">
        <v>101200</v>
      </c>
      <c r="Q52" s="288">
        <v>281500</v>
      </c>
      <c r="V52" s="288">
        <v>231700</v>
      </c>
      <c r="Z52" s="288">
        <v>122600</v>
      </c>
      <c r="AA52"/>
      <c r="AB52"/>
      <c r="AD52" s="288">
        <v>101200</v>
      </c>
      <c r="AH52" s="288">
        <v>281500</v>
      </c>
      <c r="AL52" s="288">
        <v>148100</v>
      </c>
      <c r="AP52" s="288">
        <v>133800</v>
      </c>
      <c r="AT52" s="288">
        <v>101200</v>
      </c>
      <c r="AZ52" s="288">
        <v>328000</v>
      </c>
      <c r="BE52" s="288">
        <v>148100</v>
      </c>
      <c r="BJ52" s="288">
        <v>133800</v>
      </c>
      <c r="BP52" s="288">
        <v>122600</v>
      </c>
      <c r="BW52" s="288">
        <v>432200</v>
      </c>
      <c r="CC52" s="288">
        <v>169500</v>
      </c>
      <c r="CI52" s="288">
        <v>35600</v>
      </c>
      <c r="CN52" s="288">
        <v>56000</v>
      </c>
      <c r="CR52" s="288">
        <v>4628300</v>
      </c>
      <c r="CV52" s="288">
        <v>56000</v>
      </c>
      <c r="CZ52" s="288">
        <v>4195400</v>
      </c>
      <c r="DD52" s="288">
        <v>4102000</v>
      </c>
      <c r="DH52" s="288">
        <v>980700</v>
      </c>
      <c r="DL52" s="288">
        <v>948300</v>
      </c>
      <c r="DP52" s="288">
        <v>1233100</v>
      </c>
    </row>
    <row r="53" spans="6:135">
      <c r="G53" s="288">
        <f>SUM(G46:G52)</f>
        <v>5072300</v>
      </c>
      <c r="L53" s="288">
        <f>SUM(L46:L52)</f>
        <v>233200</v>
      </c>
      <c r="Q53" s="288">
        <f>SUM(Q46:Q52)</f>
        <v>778600</v>
      </c>
      <c r="V53" s="288">
        <f>SUM(V46:V52)</f>
        <v>732800</v>
      </c>
      <c r="Z53" s="288">
        <f>SUM(Z46:Z52)</f>
        <v>307500</v>
      </c>
      <c r="AA53"/>
      <c r="AB53"/>
      <c r="AD53" s="288">
        <f>SUM(AD46:AD52)</f>
        <v>233400</v>
      </c>
      <c r="AH53" s="288">
        <f>SUM(AH46:AH52)</f>
        <v>778200</v>
      </c>
      <c r="AL53" s="288">
        <f>SUM(AL46:AL52)</f>
        <v>299600</v>
      </c>
      <c r="AP53" s="288">
        <f>SUM(AP46:AP52)</f>
        <v>336800</v>
      </c>
      <c r="AT53" s="288">
        <f>SUM(AT46:AT52)</f>
        <v>236700</v>
      </c>
      <c r="AZ53" s="288">
        <f>SUM(AZ46:AZ52)</f>
        <v>1127500</v>
      </c>
      <c r="BE53" s="288">
        <f>SUM(BE46:BE52)</f>
        <v>312100</v>
      </c>
      <c r="BJ53" s="288">
        <f>SUM(BJ46:BJ52)</f>
        <v>329900</v>
      </c>
      <c r="BP53" s="288">
        <f>SUM(BP46:BP52)</f>
        <v>299100</v>
      </c>
      <c r="BW53" s="288">
        <f>SUM(BW46:BW52)</f>
        <v>1699300</v>
      </c>
      <c r="CC53" s="288">
        <f>SUM(CC46:CC52)</f>
        <v>340900</v>
      </c>
      <c r="CI53" s="288">
        <f>SUM(CI46:CI52)</f>
        <v>93900</v>
      </c>
      <c r="CN53" s="288">
        <f>SUM(CN46:CN52)</f>
        <v>122800</v>
      </c>
      <c r="CR53" s="288">
        <f>SUM(CR46:CR52)</f>
        <v>6155600</v>
      </c>
      <c r="CV53" s="288">
        <f>SUM(CV46:CV52)</f>
        <v>114400</v>
      </c>
      <c r="CZ53" s="288">
        <f>SUM(CZ46:CZ52)</f>
        <v>5668100</v>
      </c>
      <c r="DD53" s="288">
        <f>SUM(DD46:DD52)</f>
        <v>5557600</v>
      </c>
      <c r="DH53" s="288">
        <f>SUM(DH46:DH52)</f>
        <v>4226800</v>
      </c>
      <c r="DL53" s="288">
        <f>SUM(DL46:DL52)</f>
        <v>4087200</v>
      </c>
      <c r="DP53" s="288">
        <f>SUM(DP46:DP52)</f>
        <v>5348800</v>
      </c>
    </row>
    <row r="54" spans="6:135">
      <c r="AA54"/>
      <c r="AB54"/>
    </row>
    <row r="55" spans="6:135">
      <c r="AA55"/>
      <c r="AB55"/>
    </row>
    <row r="56" spans="6:135">
      <c r="F56" s="288" t="s">
        <v>1084</v>
      </c>
      <c r="G56" s="288">
        <v>-1651.37681</v>
      </c>
      <c r="K56" s="288" t="s">
        <v>1084</v>
      </c>
      <c r="L56" s="288">
        <v>-1225.36573</v>
      </c>
      <c r="P56" s="288" t="s">
        <v>1084</v>
      </c>
      <c r="Q56" s="288">
        <v>-1012.5286599999999</v>
      </c>
      <c r="U56" s="288" t="s">
        <v>1084</v>
      </c>
      <c r="V56" s="288">
        <v>-881.10761200000002</v>
      </c>
      <c r="Y56" s="288" t="s">
        <v>1084</v>
      </c>
      <c r="Z56" s="288">
        <v>-2080.2570700000001</v>
      </c>
      <c r="AA56"/>
      <c r="AB56"/>
      <c r="AC56" s="288" t="s">
        <v>1084</v>
      </c>
      <c r="AD56" s="288">
        <v>-1600.97846</v>
      </c>
      <c r="AG56" s="288" t="s">
        <v>1084</v>
      </c>
      <c r="AH56" s="288">
        <v>-1326.1310000000001</v>
      </c>
      <c r="AK56" s="288" t="s">
        <v>1084</v>
      </c>
      <c r="AL56" s="288">
        <v>-1150.7818</v>
      </c>
      <c r="AO56" s="288" t="s">
        <v>1084</v>
      </c>
      <c r="AP56" s="288">
        <v>-2013.7847200000001</v>
      </c>
      <c r="AS56" s="288" t="s">
        <v>1084</v>
      </c>
      <c r="AT56" s="288">
        <v>-1552.1266000000001</v>
      </c>
      <c r="AY56" s="288" t="s">
        <v>1084</v>
      </c>
      <c r="AZ56" s="288">
        <v>-1288.0554199999999</v>
      </c>
      <c r="BD56" s="288" t="s">
        <v>1084</v>
      </c>
      <c r="BE56" s="288">
        <v>-1119.0480600000001</v>
      </c>
      <c r="BI56" s="288" t="s">
        <v>1084</v>
      </c>
      <c r="BJ56" s="288">
        <v>-2069.40418</v>
      </c>
      <c r="BO56" s="288" t="s">
        <v>1084</v>
      </c>
      <c r="BP56" s="288">
        <v>-1594.53304</v>
      </c>
      <c r="BV56" s="288" t="s">
        <v>1084</v>
      </c>
      <c r="BW56" s="288">
        <v>-1329.8903600000001</v>
      </c>
      <c r="CB56" s="288" t="s">
        <v>1084</v>
      </c>
      <c r="CC56" s="288">
        <v>-1130.32395</v>
      </c>
      <c r="CH56" s="288" t="s">
        <v>1084</v>
      </c>
      <c r="CI56" s="288">
        <v>-1932.8559700000001</v>
      </c>
      <c r="CM56" s="288" t="s">
        <v>1084</v>
      </c>
      <c r="CN56" s="288">
        <v>-1481.1592499999999</v>
      </c>
      <c r="CQ56" s="288" t="s">
        <v>1084</v>
      </c>
      <c r="CR56" s="288">
        <v>-1759.20928</v>
      </c>
      <c r="CU56" s="288" t="s">
        <v>1084</v>
      </c>
      <c r="CV56" s="288">
        <v>-1982.7449999999999</v>
      </c>
      <c r="CY56" s="288" t="s">
        <v>1084</v>
      </c>
      <c r="CZ56" s="288">
        <v>-3693.0526199999999</v>
      </c>
      <c r="DC56" s="288" t="s">
        <v>1084</v>
      </c>
      <c r="DD56" s="288">
        <v>-4292.2671499999997</v>
      </c>
      <c r="DG56" s="288" t="s">
        <v>1084</v>
      </c>
      <c r="DH56" s="288">
        <v>-4843.9260899999999</v>
      </c>
      <c r="DK56" s="288" t="s">
        <v>1084</v>
      </c>
      <c r="DL56" s="288">
        <v>-5818.3506699999998</v>
      </c>
      <c r="DO56" s="288" t="s">
        <v>1084</v>
      </c>
      <c r="DP56" s="288">
        <v>-4597.2061400000002</v>
      </c>
    </row>
    <row r="57" spans="6:135">
      <c r="F57" s="288" t="s">
        <v>1085</v>
      </c>
      <c r="G57" s="288">
        <f>G56*1000*4.184/3600</f>
        <v>-1919.2668258444444</v>
      </c>
      <c r="K57" s="288" t="s">
        <v>1085</v>
      </c>
      <c r="L57" s="288">
        <f>L56*1000*4.184/3600</f>
        <v>-1424.1472817555557</v>
      </c>
      <c r="P57" s="288" t="s">
        <v>1085</v>
      </c>
      <c r="Q57" s="288">
        <f>Q56*1000*4.184/3600</f>
        <v>-1176.7833092888889</v>
      </c>
      <c r="U57" s="288" t="s">
        <v>1085</v>
      </c>
      <c r="V57" s="288">
        <f>V56*1000*4.184/3600</f>
        <v>-1024.0428468355556</v>
      </c>
      <c r="Y57" s="288" t="s">
        <v>1085</v>
      </c>
      <c r="Z57" s="288">
        <f>Z56*1000*4.184/3600</f>
        <v>-2417.7209946888893</v>
      </c>
      <c r="AA57"/>
      <c r="AB57"/>
      <c r="AC57" s="288" t="s">
        <v>1085</v>
      </c>
      <c r="AD57" s="288">
        <f>AD56*1000*4.184/3600</f>
        <v>-1860.6927435111113</v>
      </c>
      <c r="AG57" s="288" t="s">
        <v>1085</v>
      </c>
      <c r="AH57" s="288">
        <f>AH56*1000*4.184/3600</f>
        <v>-1541.2589177777779</v>
      </c>
      <c r="AK57" s="288" t="s">
        <v>1085</v>
      </c>
      <c r="AL57" s="288">
        <f>AL56*1000*4.184/3600</f>
        <v>-1337.4641808888891</v>
      </c>
      <c r="AO57" s="288" t="s">
        <v>1085</v>
      </c>
      <c r="AP57" s="288">
        <f>AP56*1000*4.184/3600</f>
        <v>-2340.4653523555558</v>
      </c>
      <c r="AS57" s="288" t="s">
        <v>1085</v>
      </c>
      <c r="AT57" s="288">
        <f>AT56*1000*4.184/3600</f>
        <v>-1803.9160262222224</v>
      </c>
      <c r="AY57" s="288" t="s">
        <v>1085</v>
      </c>
      <c r="AZ57" s="288">
        <f>AZ56*1000*4.184/3600</f>
        <v>-1497.0066325777777</v>
      </c>
      <c r="BD57" s="288" t="s">
        <v>1085</v>
      </c>
      <c r="BE57" s="288">
        <f>BE56*1000*4.184/3600</f>
        <v>-1300.5825230666669</v>
      </c>
      <c r="BI57" s="288" t="s">
        <v>1085</v>
      </c>
      <c r="BJ57" s="288">
        <f>BJ56*1000*4.184/3600</f>
        <v>-2405.1075247555559</v>
      </c>
      <c r="BO57" s="288" t="s">
        <v>1085</v>
      </c>
      <c r="BP57" s="288">
        <f>BP56*1000*4.184/3600</f>
        <v>-1853.2017331555555</v>
      </c>
      <c r="BV57" s="288" t="s">
        <v>1085</v>
      </c>
      <c r="BW57" s="288">
        <f>BW56*1000*4.184/3600</f>
        <v>-1545.6281295111114</v>
      </c>
      <c r="CB57" s="288" t="s">
        <v>1085</v>
      </c>
      <c r="CC57" s="288">
        <f>CC56*1000*4.184/3600</f>
        <v>-1313.6876130000001</v>
      </c>
      <c r="CH57" s="288" t="s">
        <v>1085</v>
      </c>
      <c r="CI57" s="288">
        <f>CI56*1000*4.184/3600</f>
        <v>-2246.408160688889</v>
      </c>
      <c r="CM57" s="288" t="s">
        <v>1085</v>
      </c>
      <c r="CN57" s="288">
        <f>CN56*1000*4.184/3600</f>
        <v>-1721.436195</v>
      </c>
      <c r="CQ57" s="288" t="s">
        <v>1085</v>
      </c>
      <c r="CR57" s="288">
        <f>CR56*1000*4.184/3600</f>
        <v>-2044.5921187555557</v>
      </c>
      <c r="CU57" s="288" t="s">
        <v>1085</v>
      </c>
      <c r="CV57" s="288">
        <f>CV56*1000*4.184/3600</f>
        <v>-2304.3903</v>
      </c>
      <c r="CY57" s="288" t="s">
        <v>1085</v>
      </c>
      <c r="CZ57" s="288">
        <f>CZ56*1000*4.184/3600</f>
        <v>-4292.1478228000005</v>
      </c>
      <c r="DC57" s="288" t="s">
        <v>1085</v>
      </c>
      <c r="DD57" s="288">
        <f>DD56*1000*4.184/3600</f>
        <v>-4988.5682654444436</v>
      </c>
      <c r="DG57" s="288" t="s">
        <v>1085</v>
      </c>
      <c r="DH57" s="288">
        <f>DH56*1000*4.184/3600</f>
        <v>-5629.7185445999994</v>
      </c>
      <c r="DK57" s="288" t="s">
        <v>1085</v>
      </c>
      <c r="DL57" s="288">
        <f>DL56*1000*4.184/3600</f>
        <v>-6762.2164453555561</v>
      </c>
      <c r="DO57" s="288" t="s">
        <v>1085</v>
      </c>
      <c r="DP57" s="288">
        <f>DP56*1000*4.184/3600</f>
        <v>-5342.9751360444452</v>
      </c>
    </row>
    <row r="58" spans="6:135">
      <c r="G58" s="288">
        <v>-1919.2668258444444</v>
      </c>
      <c r="L58" s="288">
        <v>-1424.1472817555557</v>
      </c>
      <c r="Q58" s="288">
        <v>-1176.7833092888889</v>
      </c>
      <c r="V58" s="288">
        <v>-1024.0428468355556</v>
      </c>
      <c r="Z58" s="288">
        <v>-2417.7209946888893</v>
      </c>
      <c r="AA58"/>
      <c r="AB58"/>
      <c r="AD58" s="288">
        <v>-1860.6927435111113</v>
      </c>
      <c r="AH58" s="288">
        <v>-1541.2589177777779</v>
      </c>
      <c r="AL58" s="288">
        <v>-1337.4641808888891</v>
      </c>
      <c r="AP58" s="288">
        <v>-2340.4653523555558</v>
      </c>
      <c r="AT58" s="288">
        <v>-1803.9160262222224</v>
      </c>
      <c r="AZ58" s="288">
        <v>-1497.0066325777777</v>
      </c>
      <c r="BE58" s="288">
        <v>-1300.5825230666669</v>
      </c>
      <c r="BJ58" s="288">
        <v>-2405.1075247555559</v>
      </c>
      <c r="BP58" s="288">
        <v>-1853.2017331555555</v>
      </c>
      <c r="BW58" s="288">
        <v>-1545.6281295111114</v>
      </c>
      <c r="CC58" s="288">
        <v>-1313.6876130000001</v>
      </c>
      <c r="CI58" s="288">
        <v>-2246.408160688889</v>
      </c>
      <c r="CN58" s="288">
        <v>-1721.436195</v>
      </c>
      <c r="CR58" s="288">
        <v>-2044.5921187555557</v>
      </c>
      <c r="CV58" s="288">
        <v>-2304.3903</v>
      </c>
      <c r="CZ58" s="288">
        <v>-4292.1478228000005</v>
      </c>
      <c r="DD58" s="288">
        <v>-4988.5682654444436</v>
      </c>
      <c r="DH58" s="288">
        <v>-5629.7185445999994</v>
      </c>
      <c r="DL58" s="288">
        <v>-6762.2164453555561</v>
      </c>
      <c r="DP58" s="288">
        <v>-5342.9751360444452</v>
      </c>
    </row>
    <row r="59" spans="6:135">
      <c r="Z59"/>
      <c r="AA59"/>
      <c r="AB59"/>
      <c r="AC59"/>
    </row>
    <row r="60" spans="6:135">
      <c r="F60"/>
      <c r="G60"/>
      <c r="H60"/>
      <c r="I60"/>
      <c r="Z60"/>
      <c r="AA60"/>
      <c r="AB60"/>
      <c r="AC60"/>
    </row>
    <row r="61" spans="6:135">
      <c r="F61" s="341" t="s">
        <v>793</v>
      </c>
      <c r="G61" s="341">
        <v>61512900</v>
      </c>
      <c r="H61" s="288">
        <v>108141.026</v>
      </c>
      <c r="I61" s="288" t="s">
        <v>657</v>
      </c>
      <c r="K61" s="341" t="s">
        <v>793</v>
      </c>
      <c r="L61" s="341">
        <v>61512900</v>
      </c>
      <c r="M61" s="288">
        <v>108141.026</v>
      </c>
      <c r="N61" s="288" t="s">
        <v>657</v>
      </c>
      <c r="P61" s="341" t="s">
        <v>793</v>
      </c>
      <c r="Q61" s="341">
        <v>61512900</v>
      </c>
      <c r="R61" s="288">
        <v>108141.026</v>
      </c>
      <c r="S61" s="288" t="s">
        <v>657</v>
      </c>
      <c r="U61" s="341" t="s">
        <v>793</v>
      </c>
      <c r="V61" s="341">
        <v>61512900</v>
      </c>
      <c r="W61" s="288">
        <v>108141.026</v>
      </c>
      <c r="X61" s="288" t="s">
        <v>657</v>
      </c>
      <c r="Y61" s="341" t="s">
        <v>793</v>
      </c>
      <c r="Z61" s="341">
        <v>61512900</v>
      </c>
      <c r="AA61" s="288">
        <v>108141.026</v>
      </c>
      <c r="AB61" s="288" t="s">
        <v>657</v>
      </c>
      <c r="AC61" s="341" t="s">
        <v>793</v>
      </c>
      <c r="AD61" s="341">
        <v>61512900</v>
      </c>
      <c r="AE61" s="288">
        <v>108141.026</v>
      </c>
      <c r="AF61" s="288" t="s">
        <v>657</v>
      </c>
      <c r="AG61" s="341" t="s">
        <v>793</v>
      </c>
      <c r="AH61" s="341">
        <v>61512900</v>
      </c>
      <c r="AI61" s="288">
        <v>108141.026</v>
      </c>
      <c r="AJ61" s="288" t="s">
        <v>657</v>
      </c>
      <c r="AK61" s="341" t="s">
        <v>793</v>
      </c>
      <c r="AL61" s="341">
        <v>61512900</v>
      </c>
      <c r="AM61" s="288">
        <v>108141.026</v>
      </c>
      <c r="AN61" s="288" t="s">
        <v>657</v>
      </c>
      <c r="AO61" s="341" t="s">
        <v>793</v>
      </c>
      <c r="AP61" s="341">
        <v>61512900</v>
      </c>
      <c r="AQ61" s="288">
        <v>108141.026</v>
      </c>
      <c r="AR61" s="288" t="s">
        <v>657</v>
      </c>
      <c r="AS61" s="341" t="s">
        <v>793</v>
      </c>
      <c r="AT61" s="341">
        <v>61512900</v>
      </c>
      <c r="AU61" s="288">
        <v>108141.026</v>
      </c>
      <c r="AV61" s="288" t="s">
        <v>657</v>
      </c>
      <c r="AY61" s="341" t="s">
        <v>793</v>
      </c>
      <c r="AZ61" s="341">
        <v>61512900</v>
      </c>
      <c r="BA61" s="288">
        <v>108141.026</v>
      </c>
      <c r="BB61" s="288" t="s">
        <v>657</v>
      </c>
      <c r="BD61" s="341" t="s">
        <v>793</v>
      </c>
      <c r="BE61" s="341">
        <v>61512900</v>
      </c>
      <c r="BF61" s="288">
        <v>108141.026</v>
      </c>
      <c r="BG61" s="288" t="s">
        <v>657</v>
      </c>
      <c r="BI61" s="341" t="s">
        <v>793</v>
      </c>
      <c r="BJ61" s="341">
        <v>61512900</v>
      </c>
      <c r="BK61" s="288">
        <v>108141.026</v>
      </c>
      <c r="BL61" s="288" t="s">
        <v>657</v>
      </c>
      <c r="BO61" s="341" t="s">
        <v>793</v>
      </c>
      <c r="BP61" s="341">
        <v>61512900</v>
      </c>
      <c r="BQ61" s="288">
        <v>108141.026</v>
      </c>
      <c r="BR61" s="288" t="s">
        <v>657</v>
      </c>
      <c r="BV61" s="341" t="s">
        <v>793</v>
      </c>
      <c r="BW61" s="341">
        <v>61512900</v>
      </c>
      <c r="BX61" s="288">
        <v>108141.026</v>
      </c>
      <c r="BY61" s="288" t="s">
        <v>657</v>
      </c>
      <c r="CB61" s="341" t="s">
        <v>793</v>
      </c>
      <c r="CC61" s="341">
        <v>61512900</v>
      </c>
      <c r="CD61" s="288">
        <v>108141.026</v>
      </c>
      <c r="CE61" s="288" t="s">
        <v>657</v>
      </c>
      <c r="CH61" s="341" t="s">
        <v>793</v>
      </c>
      <c r="CI61" s="341">
        <v>61512900</v>
      </c>
      <c r="CJ61" s="288">
        <v>108141.026</v>
      </c>
      <c r="CK61" s="288" t="s">
        <v>657</v>
      </c>
      <c r="CM61" s="341" t="s">
        <v>793</v>
      </c>
      <c r="CN61" s="341">
        <v>61512900</v>
      </c>
      <c r="CO61" s="288">
        <v>108141.026</v>
      </c>
      <c r="CP61" s="288" t="s">
        <v>657</v>
      </c>
      <c r="CQ61" s="341" t="s">
        <v>793</v>
      </c>
      <c r="CR61" s="341">
        <v>61512900</v>
      </c>
      <c r="CS61" s="288">
        <v>108141.026</v>
      </c>
      <c r="CT61" s="288" t="s">
        <v>657</v>
      </c>
      <c r="CU61" s="341" t="s">
        <v>793</v>
      </c>
      <c r="CV61" s="341">
        <v>61512900</v>
      </c>
      <c r="CW61" s="288">
        <v>108141.026</v>
      </c>
      <c r="CX61" s="288" t="s">
        <v>657</v>
      </c>
      <c r="CY61" s="341" t="s">
        <v>793</v>
      </c>
      <c r="CZ61" s="341">
        <v>61512900</v>
      </c>
      <c r="DA61" s="288">
        <v>108141.026</v>
      </c>
      <c r="DB61" s="288" t="s">
        <v>657</v>
      </c>
      <c r="DC61" s="341" t="s">
        <v>793</v>
      </c>
      <c r="DD61" s="341">
        <v>61512900</v>
      </c>
      <c r="DE61" s="288">
        <v>108141.026</v>
      </c>
      <c r="DF61" s="288" t="s">
        <v>657</v>
      </c>
      <c r="DG61" s="341" t="s">
        <v>793</v>
      </c>
      <c r="DH61" s="341">
        <v>61512900</v>
      </c>
      <c r="DI61" s="288">
        <v>108141.026</v>
      </c>
      <c r="DJ61" s="288" t="s">
        <v>657</v>
      </c>
      <c r="DK61" s="341" t="s">
        <v>793</v>
      </c>
      <c r="DL61" s="341">
        <v>61512900</v>
      </c>
      <c r="DM61" s="288">
        <v>108141.026</v>
      </c>
      <c r="DN61" s="288" t="s">
        <v>657</v>
      </c>
      <c r="DO61" s="341" t="s">
        <v>793</v>
      </c>
      <c r="DP61" s="341">
        <v>61512900</v>
      </c>
      <c r="DQ61" s="288">
        <v>108141.026</v>
      </c>
      <c r="DR61" s="288" t="s">
        <v>657</v>
      </c>
      <c r="DS61"/>
      <c r="DT61"/>
      <c r="DU61"/>
      <c r="DV61"/>
      <c r="DW61"/>
      <c r="DX61"/>
      <c r="DY61"/>
      <c r="DZ61"/>
      <c r="EA61"/>
      <c r="EB61"/>
      <c r="EC61"/>
      <c r="ED61"/>
      <c r="EE61"/>
    </row>
    <row r="62" spans="6:135">
      <c r="Z62"/>
      <c r="AA62"/>
      <c r="AB62"/>
      <c r="AC62"/>
      <c r="DS62"/>
      <c r="DT62"/>
      <c r="DU62"/>
      <c r="DV62"/>
      <c r="DW62"/>
      <c r="DX62"/>
      <c r="DY62"/>
      <c r="DZ62"/>
      <c r="EA62"/>
      <c r="EB62"/>
      <c r="EC62"/>
      <c r="ED62"/>
      <c r="EE62"/>
    </row>
    <row r="63" spans="6:135">
      <c r="Z63"/>
      <c r="AA63"/>
      <c r="AB63"/>
      <c r="AC63"/>
      <c r="DS63"/>
      <c r="DT63"/>
      <c r="DU63"/>
      <c r="DV63"/>
      <c r="DW63"/>
      <c r="DX63"/>
      <c r="DY63"/>
      <c r="DZ63"/>
      <c r="EA63"/>
      <c r="EB63"/>
      <c r="EC63"/>
      <c r="ED63"/>
      <c r="EE63"/>
    </row>
    <row r="64" spans="6:135">
      <c r="Z64"/>
      <c r="AA64"/>
      <c r="AB64"/>
      <c r="AC64"/>
      <c r="DS64"/>
      <c r="DT64"/>
      <c r="DU64"/>
      <c r="DV64"/>
      <c r="DW64"/>
      <c r="DX64"/>
      <c r="DY64"/>
      <c r="DZ64"/>
      <c r="EA64"/>
      <c r="EB64"/>
      <c r="EC64"/>
      <c r="ED64"/>
      <c r="EE64"/>
    </row>
    <row r="65" spans="2:135">
      <c r="B65" s="803" t="s">
        <v>707</v>
      </c>
      <c r="C65" s="803"/>
      <c r="F65" s="311" t="s">
        <v>1191</v>
      </c>
      <c r="K65" s="311" t="s">
        <v>1192</v>
      </c>
      <c r="P65" s="311" t="s">
        <v>1153</v>
      </c>
      <c r="U65" s="311" t="s">
        <v>1154</v>
      </c>
      <c r="Y65" s="311" t="s">
        <v>1164</v>
      </c>
      <c r="AB65"/>
      <c r="AC65" s="311" t="s">
        <v>1169</v>
      </c>
      <c r="AG65" s="311" t="s">
        <v>1170</v>
      </c>
      <c r="AK65" s="311" t="s">
        <v>1171</v>
      </c>
      <c r="AO65" s="311" t="s">
        <v>1172</v>
      </c>
      <c r="AS65" s="311" t="s">
        <v>1175</v>
      </c>
      <c r="AY65" s="311" t="s">
        <v>1177</v>
      </c>
      <c r="BD65" s="311" t="s">
        <v>1179</v>
      </c>
      <c r="BI65" s="311" t="s">
        <v>1180</v>
      </c>
      <c r="BO65" s="311" t="s">
        <v>1183</v>
      </c>
      <c r="BV65" s="311" t="s">
        <v>1185</v>
      </c>
      <c r="CB65" s="311" t="s">
        <v>1187</v>
      </c>
      <c r="CH65" s="311" t="s">
        <v>1193</v>
      </c>
      <c r="CM65" s="311" t="s">
        <v>1194</v>
      </c>
      <c r="CQ65" s="311" t="s">
        <v>1195</v>
      </c>
      <c r="CU65" s="311" t="s">
        <v>1196</v>
      </c>
      <c r="CY65" s="311" t="s">
        <v>1197</v>
      </c>
      <c r="DC65" s="311" t="s">
        <v>1198</v>
      </c>
      <c r="DG65" s="311" t="s">
        <v>1199</v>
      </c>
      <c r="DK65" s="311" t="s">
        <v>1200</v>
      </c>
      <c r="DO65" s="311" t="s">
        <v>1201</v>
      </c>
      <c r="DS65"/>
      <c r="DT65"/>
      <c r="DU65"/>
      <c r="DV65"/>
      <c r="DW65"/>
      <c r="DX65"/>
      <c r="DY65"/>
      <c r="DZ65"/>
      <c r="EA65"/>
      <c r="EB65"/>
      <c r="EC65"/>
      <c r="ED65"/>
      <c r="EE65"/>
    </row>
    <row r="66" spans="2:135">
      <c r="B66" s="803"/>
      <c r="C66" s="803" t="s">
        <v>863</v>
      </c>
      <c r="F66" s="341"/>
      <c r="G66" s="342" t="s">
        <v>863</v>
      </c>
      <c r="K66" s="341"/>
      <c r="L66" s="342" t="s">
        <v>863</v>
      </c>
      <c r="P66" s="341"/>
      <c r="Q66" s="342" t="s">
        <v>863</v>
      </c>
      <c r="U66" s="341"/>
      <c r="V66" s="342" t="s">
        <v>863</v>
      </c>
      <c r="Y66" s="341"/>
      <c r="Z66" s="342" t="s">
        <v>863</v>
      </c>
      <c r="AA66"/>
      <c r="AB66"/>
      <c r="AC66" s="341"/>
      <c r="AD66" s="342" t="s">
        <v>863</v>
      </c>
      <c r="AG66" s="341"/>
      <c r="AH66" s="342" t="s">
        <v>863</v>
      </c>
      <c r="AK66" s="341"/>
      <c r="AL66" s="342" t="s">
        <v>863</v>
      </c>
      <c r="AO66" s="341"/>
      <c r="AP66" s="342" t="s">
        <v>863</v>
      </c>
      <c r="AS66" s="341"/>
      <c r="AT66" s="342" t="s">
        <v>863</v>
      </c>
      <c r="AY66" s="341"/>
      <c r="AZ66" s="342" t="s">
        <v>863</v>
      </c>
      <c r="BD66" s="341"/>
      <c r="BE66" s="342" t="s">
        <v>863</v>
      </c>
      <c r="BI66" s="341"/>
      <c r="BJ66" s="342" t="s">
        <v>863</v>
      </c>
      <c r="BO66" s="341"/>
      <c r="BP66" s="342" t="s">
        <v>863</v>
      </c>
      <c r="BV66" s="341"/>
      <c r="BW66" s="342" t="s">
        <v>863</v>
      </c>
      <c r="CB66" s="341"/>
      <c r="CC66" s="342" t="s">
        <v>863</v>
      </c>
      <c r="CH66" s="341"/>
      <c r="CI66" s="342" t="s">
        <v>863</v>
      </c>
      <c r="CM66" s="341"/>
      <c r="CN66" s="342" t="s">
        <v>863</v>
      </c>
      <c r="CQ66" s="341"/>
      <c r="CR66" s="342" t="s">
        <v>863</v>
      </c>
      <c r="CU66" s="341"/>
      <c r="CV66" s="342" t="s">
        <v>863</v>
      </c>
      <c r="CY66" s="341"/>
      <c r="CZ66" s="342" t="s">
        <v>863</v>
      </c>
      <c r="DC66" s="341"/>
      <c r="DD66" s="342" t="s">
        <v>863</v>
      </c>
      <c r="DG66" s="341"/>
      <c r="DH66" s="342" t="s">
        <v>863</v>
      </c>
      <c r="DK66" s="341"/>
      <c r="DL66" s="342" t="s">
        <v>863</v>
      </c>
      <c r="DO66" s="341"/>
      <c r="DP66" s="342" t="s">
        <v>863</v>
      </c>
      <c r="DS66"/>
      <c r="DT66"/>
      <c r="DU66"/>
      <c r="DV66"/>
      <c r="DW66"/>
      <c r="DX66"/>
      <c r="DY66"/>
      <c r="DZ66"/>
      <c r="EA66"/>
      <c r="EB66"/>
      <c r="EC66"/>
      <c r="ED66"/>
      <c r="EE66"/>
    </row>
    <row r="67" spans="2:135">
      <c r="B67" s="803" t="s">
        <v>715</v>
      </c>
      <c r="C67" s="803">
        <v>185069297.65272826</v>
      </c>
      <c r="F67" s="342" t="s">
        <v>862</v>
      </c>
      <c r="G67" s="341"/>
      <c r="K67" s="342" t="s">
        <v>862</v>
      </c>
      <c r="L67" s="341"/>
      <c r="P67" s="342" t="s">
        <v>862</v>
      </c>
      <c r="Q67" s="341"/>
      <c r="U67" s="342" t="s">
        <v>862</v>
      </c>
      <c r="V67" s="341"/>
      <c r="Y67" s="342" t="s">
        <v>862</v>
      </c>
      <c r="Z67" s="341"/>
      <c r="AB67"/>
      <c r="AC67" s="342" t="s">
        <v>862</v>
      </c>
      <c r="AD67" s="341"/>
      <c r="AG67" s="342" t="s">
        <v>862</v>
      </c>
      <c r="AH67" s="341"/>
      <c r="AK67" s="342" t="s">
        <v>862</v>
      </c>
      <c r="AL67" s="341"/>
      <c r="AO67" s="342" t="s">
        <v>862</v>
      </c>
      <c r="AP67" s="341"/>
      <c r="AS67" s="342" t="s">
        <v>862</v>
      </c>
      <c r="AT67" s="341"/>
      <c r="AY67" s="342" t="s">
        <v>862</v>
      </c>
      <c r="AZ67" s="341"/>
      <c r="BD67" s="342" t="s">
        <v>862</v>
      </c>
      <c r="BE67" s="341"/>
      <c r="BI67" s="342" t="s">
        <v>862</v>
      </c>
      <c r="BJ67" s="341"/>
      <c r="BO67" s="342" t="s">
        <v>862</v>
      </c>
      <c r="BP67" s="341"/>
      <c r="BV67" s="342" t="s">
        <v>862</v>
      </c>
      <c r="BW67" s="341"/>
      <c r="CB67" s="342" t="s">
        <v>862</v>
      </c>
      <c r="CC67" s="341"/>
      <c r="CH67" s="342" t="s">
        <v>862</v>
      </c>
      <c r="CI67" s="341"/>
      <c r="CM67" s="342" t="s">
        <v>862</v>
      </c>
      <c r="CN67" s="341"/>
      <c r="CQ67" s="342" t="s">
        <v>862</v>
      </c>
      <c r="CR67" s="341"/>
      <c r="CU67" s="342" t="s">
        <v>862</v>
      </c>
      <c r="CV67" s="341"/>
      <c r="CY67" s="342" t="s">
        <v>862</v>
      </c>
      <c r="CZ67" s="341"/>
      <c r="DC67" s="342" t="s">
        <v>862</v>
      </c>
      <c r="DD67" s="341"/>
      <c r="DG67" s="342" t="s">
        <v>862</v>
      </c>
      <c r="DH67" s="341"/>
      <c r="DK67" s="342" t="s">
        <v>862</v>
      </c>
      <c r="DL67" s="341"/>
      <c r="DO67" s="342" t="s">
        <v>862</v>
      </c>
      <c r="DP67" s="341"/>
      <c r="DS67"/>
      <c r="DT67"/>
      <c r="DU67"/>
      <c r="DV67"/>
      <c r="DW67"/>
      <c r="DX67"/>
      <c r="DY67"/>
      <c r="DZ67"/>
      <c r="EA67"/>
      <c r="EB67"/>
      <c r="EC67"/>
      <c r="ED67"/>
      <c r="EE67"/>
    </row>
    <row r="68" spans="2:135">
      <c r="B68" s="803" t="s">
        <v>864</v>
      </c>
      <c r="C68" s="803"/>
      <c r="D68" s="288">
        <v>875439.41899999999</v>
      </c>
      <c r="E68" s="288" t="s">
        <v>181</v>
      </c>
      <c r="F68" s="341" t="s">
        <v>1243</v>
      </c>
      <c r="G68" s="833">
        <f>100.38*10^6*(2417.72099468889/500)^0.67</f>
        <v>288548904.77866608</v>
      </c>
      <c r="K68" s="341" t="s">
        <v>1244</v>
      </c>
      <c r="L68" s="341">
        <v>242113671.34141234</v>
      </c>
      <c r="P68" s="341" t="s">
        <v>1245</v>
      </c>
      <c r="Q68" s="341">
        <v>213409595.22845855</v>
      </c>
      <c r="U68" s="341" t="s">
        <v>1246</v>
      </c>
      <c r="V68" s="341">
        <v>194064606.29992181</v>
      </c>
      <c r="Y68" s="341" t="s">
        <v>1242</v>
      </c>
      <c r="Z68" s="341">
        <v>288548904.77866608</v>
      </c>
      <c r="AA68"/>
      <c r="AB68"/>
      <c r="AC68" s="341" t="s">
        <v>1247</v>
      </c>
      <c r="AD68" s="341">
        <v>242113671.34141234</v>
      </c>
      <c r="AG68" s="341" t="s">
        <v>1245</v>
      </c>
      <c r="AH68" s="341">
        <v>213409595.22845855</v>
      </c>
      <c r="AK68" s="341" t="s">
        <v>1246</v>
      </c>
      <c r="AL68" s="341">
        <v>194064606.29992181</v>
      </c>
      <c r="AO68" s="341" t="s">
        <v>1242</v>
      </c>
      <c r="AP68" s="341">
        <f>(2418/3*1.7/5.04)*10^6*1.2</f>
        <v>326238095.23809528</v>
      </c>
      <c r="AS68" s="341" t="s">
        <v>1247</v>
      </c>
      <c r="AT68" s="341">
        <f>(1880/3*1.7/5.04)*10^6*1.2</f>
        <v>253650793.65079364</v>
      </c>
      <c r="AY68" s="341" t="s">
        <v>1245</v>
      </c>
      <c r="AZ68" s="341">
        <f>(1541/3*1.7/5.04)*10^6*1.2</f>
        <v>207912698.41269839</v>
      </c>
      <c r="BD68" s="341" t="s">
        <v>1246</v>
      </c>
      <c r="BE68" s="341">
        <f>(1337/3*1.7/5.04)*10^6*1.2</f>
        <v>180388888.8888889</v>
      </c>
      <c r="BI68" s="341" t="s">
        <v>1242</v>
      </c>
      <c r="BJ68" s="341">
        <v>326238095.23809528</v>
      </c>
      <c r="BO68" s="341" t="s">
        <v>1247</v>
      </c>
      <c r="BP68" s="341">
        <v>253650793.65079364</v>
      </c>
      <c r="BV68" s="341" t="s">
        <v>1245</v>
      </c>
      <c r="BW68" s="341">
        <v>207912698.41269839</v>
      </c>
      <c r="CB68" s="341" t="s">
        <v>1246</v>
      </c>
      <c r="CC68" s="341">
        <v>180388888.8888889</v>
      </c>
      <c r="CH68" s="341" t="s">
        <v>1202</v>
      </c>
      <c r="CI68" s="341">
        <f>100.38*10^6*(2246.40816068889/500)^0.67</f>
        <v>274684843.13460755</v>
      </c>
      <c r="CM68" s="341" t="s">
        <v>1203</v>
      </c>
      <c r="CN68" s="341">
        <f>100.38*10^6*(1721.436195/500)^0.67</f>
        <v>229818090.39654586</v>
      </c>
      <c r="CQ68" s="341" t="s">
        <v>1204</v>
      </c>
      <c r="CR68" s="341">
        <f>100.38*10^6*(2044.59211875556/500)^0.67</f>
        <v>257895500.84057355</v>
      </c>
      <c r="CU68" s="341" t="s">
        <v>1205</v>
      </c>
      <c r="CV68" s="341">
        <f>100.38*10^6*(2304.3903/500)^0.67</f>
        <v>279415075.47930413</v>
      </c>
      <c r="CY68" s="341" t="s">
        <v>1206</v>
      </c>
      <c r="CZ68" s="341">
        <f>100.38*10^6*(4292.1478228/500)^0.67</f>
        <v>423866718.72490686</v>
      </c>
      <c r="DC68" s="341" t="s">
        <v>1207</v>
      </c>
      <c r="DD68" s="341">
        <f>100.38*10^6*(4988.56826544444/500)^0.67</f>
        <v>468793039.30587101</v>
      </c>
      <c r="DG68" s="341" t="s">
        <v>1208</v>
      </c>
      <c r="DH68" s="341">
        <f>100.38*10^6*(5629.7185446/500)^0.67</f>
        <v>508350629.94401342</v>
      </c>
      <c r="DK68" s="341" t="s">
        <v>1209</v>
      </c>
      <c r="DL68" s="341">
        <f>100.38*10^6*(6762.21644535556/500)^0.67</f>
        <v>574773800.41101766</v>
      </c>
      <c r="DO68" s="341" t="s">
        <v>1210</v>
      </c>
      <c r="DP68" s="341">
        <f>100.38*10^6*(5342.97513604445/500)^0.67</f>
        <v>490853623.20624715</v>
      </c>
      <c r="DS68"/>
      <c r="DT68"/>
      <c r="DU68"/>
      <c r="DV68"/>
      <c r="DW68"/>
      <c r="DX68"/>
      <c r="DY68"/>
      <c r="DZ68"/>
      <c r="EA68"/>
      <c r="EB68"/>
      <c r="EC68"/>
      <c r="ED68"/>
      <c r="EE68"/>
    </row>
    <row r="69" spans="2:135">
      <c r="B69" s="803" t="s">
        <v>789</v>
      </c>
      <c r="C69" s="803">
        <f>C70*(D68/D69)^0.67</f>
        <v>213690830.37535846</v>
      </c>
      <c r="D69" s="288">
        <v>82185.917400000006</v>
      </c>
      <c r="E69" s="288" t="s">
        <v>181</v>
      </c>
      <c r="F69" s="342" t="s">
        <v>864</v>
      </c>
      <c r="G69" s="341"/>
      <c r="K69" s="342" t="s">
        <v>864</v>
      </c>
      <c r="L69" s="341"/>
      <c r="P69" s="342" t="s">
        <v>864</v>
      </c>
      <c r="Q69" s="341"/>
      <c r="U69" s="342" t="s">
        <v>864</v>
      </c>
      <c r="V69" s="341"/>
      <c r="Y69" s="342" t="s">
        <v>864</v>
      </c>
      <c r="Z69" s="341"/>
      <c r="AA69"/>
      <c r="AB69"/>
      <c r="AC69" s="342" t="s">
        <v>864</v>
      </c>
      <c r="AD69" s="341"/>
      <c r="AG69" s="342" t="s">
        <v>864</v>
      </c>
      <c r="AH69" s="341"/>
      <c r="AK69" s="342" t="s">
        <v>864</v>
      </c>
      <c r="AL69" s="341"/>
      <c r="AO69" s="342" t="s">
        <v>864</v>
      </c>
      <c r="AP69" s="341"/>
      <c r="AS69" s="342" t="s">
        <v>864</v>
      </c>
      <c r="AT69" s="341"/>
      <c r="AY69" s="342" t="s">
        <v>864</v>
      </c>
      <c r="AZ69" s="341"/>
      <c r="BD69" s="342" t="s">
        <v>864</v>
      </c>
      <c r="BE69" s="341"/>
      <c r="BI69" s="342" t="s">
        <v>864</v>
      </c>
      <c r="BJ69" s="341"/>
      <c r="BO69" s="342" t="s">
        <v>864</v>
      </c>
      <c r="BP69" s="341"/>
      <c r="BV69" s="342" t="s">
        <v>864</v>
      </c>
      <c r="BW69" s="341"/>
      <c r="CB69" s="342" t="s">
        <v>864</v>
      </c>
      <c r="CC69" s="341"/>
      <c r="CH69" s="342" t="s">
        <v>864</v>
      </c>
      <c r="CI69" s="341"/>
      <c r="CM69" s="342" t="s">
        <v>864</v>
      </c>
      <c r="CN69" s="341"/>
      <c r="CQ69" s="342" t="s">
        <v>864</v>
      </c>
      <c r="CR69" s="341"/>
      <c r="CU69" s="342" t="s">
        <v>864</v>
      </c>
      <c r="CV69" s="341"/>
      <c r="CY69" s="342" t="s">
        <v>864</v>
      </c>
      <c r="CZ69" s="341"/>
      <c r="DC69" s="342" t="s">
        <v>864</v>
      </c>
      <c r="DD69" s="341"/>
      <c r="DG69" s="342" t="s">
        <v>864</v>
      </c>
      <c r="DH69" s="341"/>
      <c r="DK69" s="342" t="s">
        <v>864</v>
      </c>
      <c r="DL69" s="341"/>
      <c r="DO69" s="342" t="s">
        <v>864</v>
      </c>
      <c r="DP69" s="341"/>
      <c r="DS69"/>
      <c r="DT69"/>
      <c r="DU69"/>
      <c r="DV69"/>
      <c r="DW69"/>
      <c r="DX69"/>
      <c r="DY69"/>
      <c r="DZ69"/>
      <c r="EA69"/>
      <c r="EB69"/>
      <c r="EC69"/>
      <c r="ED69"/>
      <c r="EE69"/>
    </row>
    <row r="70" spans="2:135">
      <c r="B70" s="803" t="s">
        <v>793</v>
      </c>
      <c r="C70" s="803">
        <v>43793400</v>
      </c>
      <c r="F70" s="341" t="s">
        <v>789</v>
      </c>
      <c r="G70" s="341">
        <v>246514450.1034756</v>
      </c>
      <c r="H70" s="288">
        <v>858988.46100000001</v>
      </c>
      <c r="I70" s="288" t="s">
        <v>657</v>
      </c>
      <c r="K70" s="341" t="s">
        <v>789</v>
      </c>
      <c r="L70" s="341">
        <v>178577479.85498628</v>
      </c>
      <c r="M70" s="288">
        <v>525710.897</v>
      </c>
      <c r="N70" s="288" t="s">
        <v>657</v>
      </c>
      <c r="P70" s="341" t="s">
        <v>789</v>
      </c>
      <c r="Q70" s="341">
        <v>113792076.42832401</v>
      </c>
      <c r="R70" s="288">
        <v>274593.02299999999</v>
      </c>
      <c r="S70" s="288" t="s">
        <v>657</v>
      </c>
      <c r="U70" s="341" t="s">
        <v>789</v>
      </c>
      <c r="V70" s="341">
        <v>73204042.426641688</v>
      </c>
      <c r="W70" s="288">
        <v>139977.95199999999</v>
      </c>
      <c r="X70" s="288" t="s">
        <v>657</v>
      </c>
      <c r="Y70" s="341" t="s">
        <v>789</v>
      </c>
      <c r="Z70" s="341">
        <v>246514450.1034756</v>
      </c>
      <c r="AA70" s="288">
        <v>858988.46100000001</v>
      </c>
      <c r="AB70"/>
      <c r="AC70" s="341" t="s">
        <v>789</v>
      </c>
      <c r="AD70" s="341">
        <v>178577479.85498628</v>
      </c>
      <c r="AE70" s="288">
        <v>525710.897</v>
      </c>
      <c r="AG70" s="341" t="s">
        <v>789</v>
      </c>
      <c r="AH70" s="341">
        <v>113792076.42832401</v>
      </c>
      <c r="AI70" s="288">
        <v>274593.02299999999</v>
      </c>
      <c r="AK70" s="341" t="s">
        <v>789</v>
      </c>
      <c r="AL70" s="341">
        <v>73204042.426641688</v>
      </c>
      <c r="AM70" s="288">
        <v>139977.95199999999</v>
      </c>
      <c r="AO70" s="341" t="s">
        <v>789</v>
      </c>
      <c r="AP70" s="341">
        <v>246514450.1034756</v>
      </c>
      <c r="AQ70" s="288">
        <v>858988.46100000001</v>
      </c>
      <c r="AS70" s="341" t="s">
        <v>789</v>
      </c>
      <c r="AT70" s="341">
        <v>178577479.85498628</v>
      </c>
      <c r="AU70" s="288">
        <v>525710.897</v>
      </c>
      <c r="AY70" s="341" t="s">
        <v>789</v>
      </c>
      <c r="AZ70" s="341">
        <v>113792076.42832401</v>
      </c>
      <c r="BA70" s="288">
        <v>274593.02299999999</v>
      </c>
      <c r="BD70" s="341" t="s">
        <v>789</v>
      </c>
      <c r="BE70" s="341">
        <v>73204042.426641688</v>
      </c>
      <c r="BF70" s="288">
        <v>139977.95199999999</v>
      </c>
      <c r="BI70" s="341" t="s">
        <v>789</v>
      </c>
      <c r="BJ70" s="341">
        <v>246514450.1034756</v>
      </c>
      <c r="BK70" s="288">
        <v>858988.46100000001</v>
      </c>
      <c r="BO70" s="341" t="s">
        <v>789</v>
      </c>
      <c r="BP70" s="341">
        <v>178577479.85498628</v>
      </c>
      <c r="BQ70" s="288">
        <v>525710.897</v>
      </c>
      <c r="BV70" s="341" t="s">
        <v>789</v>
      </c>
      <c r="BW70" s="341">
        <v>113792076.42832401</v>
      </c>
      <c r="BX70" s="288">
        <v>274593.02299999999</v>
      </c>
      <c r="CB70" s="341" t="s">
        <v>789</v>
      </c>
      <c r="CC70" s="341">
        <v>73204042.426641688</v>
      </c>
      <c r="CD70" s="288">
        <v>139977.95199999999</v>
      </c>
      <c r="CH70" s="341" t="s">
        <v>789</v>
      </c>
      <c r="CI70" s="341">
        <f>CI61*(CJ70/CJ61)^(0.67)</f>
        <v>294769026.86349046</v>
      </c>
      <c r="CJ70" s="288">
        <v>1121206.17</v>
      </c>
      <c r="CM70" s="341" t="s">
        <v>789</v>
      </c>
      <c r="CN70" s="341">
        <f>CN61*(CO70/CO61)^(0.67)</f>
        <v>247026522.55353504</v>
      </c>
      <c r="CO70" s="288">
        <v>861292.68400000001</v>
      </c>
      <c r="CQ70" s="341" t="s">
        <v>789</v>
      </c>
      <c r="CR70" s="341">
        <f>CR61*(CS70/CS61)^(0.67)</f>
        <v>272464062.11336797</v>
      </c>
      <c r="CS70" s="288">
        <v>996968.80099999998</v>
      </c>
      <c r="CU70" s="341" t="s">
        <v>789</v>
      </c>
      <c r="CV70" s="341">
        <f>CV61*(CW70/CW61)^(0.67)</f>
        <v>297351433.22592068</v>
      </c>
      <c r="CW70" s="288">
        <v>1135898.4099999999</v>
      </c>
      <c r="CY70" s="341" t="s">
        <v>789</v>
      </c>
      <c r="CZ70" s="341">
        <f>CZ61*(DA70/DA61)^(0.67)</f>
        <v>482735130.17974734</v>
      </c>
      <c r="DA70" s="288">
        <v>2341139.84</v>
      </c>
      <c r="DC70" s="341" t="s">
        <v>789</v>
      </c>
      <c r="DD70" s="341">
        <f>DD61*(DE70/DE61)^(0.67)</f>
        <v>539197617.27603221</v>
      </c>
      <c r="DE70" s="288">
        <v>2761388.07</v>
      </c>
      <c r="DG70" s="341" t="s">
        <v>789</v>
      </c>
      <c r="DH70" s="341">
        <f>DH61*(DI70/DI61)^(0.67)</f>
        <v>584361226.79174495</v>
      </c>
      <c r="DI70" s="288">
        <v>3113629.18</v>
      </c>
      <c r="DK70" s="341" t="s">
        <v>789</v>
      </c>
      <c r="DL70" s="341">
        <f>DL61*(DM70/DM61)^(0.67)</f>
        <v>689175301.75175035</v>
      </c>
      <c r="DM70" s="288">
        <v>3982948.3</v>
      </c>
      <c r="DO70" s="341" t="s">
        <v>789</v>
      </c>
      <c r="DP70" s="341">
        <f>DP61*(DQ70/DQ61)^(0.67)</f>
        <v>584459327.40710521</v>
      </c>
      <c r="DQ70" s="288">
        <v>3114409.37</v>
      </c>
      <c r="DS70"/>
      <c r="DT70"/>
      <c r="DU70"/>
      <c r="DV70"/>
      <c r="DW70"/>
      <c r="DX70"/>
      <c r="DY70"/>
      <c r="DZ70"/>
      <c r="EA70"/>
      <c r="EB70"/>
      <c r="EC70"/>
      <c r="ED70"/>
      <c r="EE70"/>
    </row>
    <row r="71" spans="2:135">
      <c r="B71" s="803" t="s">
        <v>607</v>
      </c>
      <c r="C71" s="803"/>
      <c r="F71" s="341" t="s">
        <v>793</v>
      </c>
      <c r="G71" s="341">
        <v>63542400</v>
      </c>
      <c r="H71" s="288">
        <v>150168.71799999999</v>
      </c>
      <c r="I71" s="288" t="s">
        <v>657</v>
      </c>
      <c r="K71" s="341" t="s">
        <v>793</v>
      </c>
      <c r="L71" s="341">
        <v>63540800</v>
      </c>
      <c r="M71" s="288">
        <v>250558.133</v>
      </c>
      <c r="N71" s="288" t="s">
        <v>657</v>
      </c>
      <c r="P71" s="341" t="s">
        <v>793</v>
      </c>
      <c r="Q71" s="341">
        <v>105840858.7830795</v>
      </c>
      <c r="R71" s="288">
        <v>243677.03099999999</v>
      </c>
      <c r="S71" s="288" t="s">
        <v>657</v>
      </c>
      <c r="U71" s="341" t="s">
        <v>793</v>
      </c>
      <c r="V71" s="341">
        <v>108200217.51623096</v>
      </c>
      <c r="W71" s="288">
        <v>250761.092</v>
      </c>
      <c r="X71" s="288" t="s">
        <v>657</v>
      </c>
      <c r="Y71" s="341" t="s">
        <v>793</v>
      </c>
      <c r="Z71" s="341">
        <v>63542400</v>
      </c>
      <c r="AA71" s="288">
        <v>150168.71799999999</v>
      </c>
      <c r="AB71"/>
      <c r="AC71" s="341" t="s">
        <v>793</v>
      </c>
      <c r="AD71" s="341">
        <v>63540800</v>
      </c>
      <c r="AE71" s="288">
        <v>250558.133</v>
      </c>
      <c r="AG71" s="341" t="s">
        <v>793</v>
      </c>
      <c r="AH71" s="341">
        <v>105840858.7830795</v>
      </c>
      <c r="AI71" s="288">
        <v>243677.03099999999</v>
      </c>
      <c r="AK71" s="341" t="s">
        <v>793</v>
      </c>
      <c r="AL71" s="341">
        <v>108200217.51623096</v>
      </c>
      <c r="AM71" s="288">
        <v>250761.092</v>
      </c>
      <c r="AO71" s="341" t="s">
        <v>793</v>
      </c>
      <c r="AP71" s="341">
        <v>63542400</v>
      </c>
      <c r="AQ71" s="288">
        <v>150168.71799999999</v>
      </c>
      <c r="AS71" s="341" t="s">
        <v>793</v>
      </c>
      <c r="AT71" s="341">
        <v>63540800</v>
      </c>
      <c r="AU71" s="288">
        <v>250558.133</v>
      </c>
      <c r="AY71" s="341" t="s">
        <v>793</v>
      </c>
      <c r="AZ71" s="341">
        <v>105840858.7830795</v>
      </c>
      <c r="BA71" s="288">
        <v>243677.03099999999</v>
      </c>
      <c r="BD71" s="341" t="s">
        <v>793</v>
      </c>
      <c r="BE71" s="341">
        <v>108200217.51623096</v>
      </c>
      <c r="BF71" s="288">
        <v>250761.092</v>
      </c>
      <c r="BI71" s="341" t="s">
        <v>793</v>
      </c>
      <c r="BJ71" s="341">
        <v>63542400</v>
      </c>
      <c r="BK71" s="288">
        <v>150168.71799999999</v>
      </c>
      <c r="BO71" s="341" t="s">
        <v>793</v>
      </c>
      <c r="BP71" s="341">
        <v>63540800</v>
      </c>
      <c r="BQ71" s="288">
        <v>250558.133</v>
      </c>
      <c r="BV71" s="341" t="s">
        <v>793</v>
      </c>
      <c r="BW71" s="341">
        <v>105840858.7830795</v>
      </c>
      <c r="BX71" s="288">
        <v>243677.03099999999</v>
      </c>
      <c r="CB71" s="341" t="s">
        <v>793</v>
      </c>
      <c r="CC71" s="341">
        <v>108200217.51623096</v>
      </c>
      <c r="CD71" s="288">
        <v>250761.092</v>
      </c>
      <c r="CH71" s="341" t="s">
        <v>793</v>
      </c>
      <c r="CI71" s="341">
        <v>63543600</v>
      </c>
      <c r="CJ71" s="288">
        <v>145401.122</v>
      </c>
      <c r="CM71" s="341" t="s">
        <v>793</v>
      </c>
      <c r="CN71" s="341">
        <v>57812200</v>
      </c>
      <c r="CO71" s="288">
        <v>111662.069</v>
      </c>
      <c r="CQ71" s="341" t="s">
        <v>793</v>
      </c>
      <c r="CR71" s="341">
        <v>57812200</v>
      </c>
      <c r="CS71" s="288">
        <v>129245.99</v>
      </c>
      <c r="CU71" s="341" t="s">
        <v>793</v>
      </c>
      <c r="CV71" s="341">
        <v>57812600</v>
      </c>
      <c r="CW71" s="288">
        <v>147252.261</v>
      </c>
      <c r="CY71" s="341" t="s">
        <v>793</v>
      </c>
      <c r="CZ71" s="341">
        <f>CZ61*(DA71/DA61)^(0.67)</f>
        <v>122833320.92591964</v>
      </c>
      <c r="DA71" s="288">
        <v>303580.62800000003</v>
      </c>
      <c r="DC71" s="341" t="s">
        <v>793</v>
      </c>
      <c r="DD71" s="341">
        <f>DD61*(DE71/DE61)^(0.67)</f>
        <v>137199347.65509018</v>
      </c>
      <c r="DE71" s="288">
        <v>358071.17200000002</v>
      </c>
      <c r="DG71" s="341" t="s">
        <v>793</v>
      </c>
      <c r="DH71" s="341">
        <f>DH61*(DI71/DI61)^(0.67)</f>
        <v>148685292.55296019</v>
      </c>
      <c r="DI71" s="288">
        <v>403722.3</v>
      </c>
      <c r="DK71" s="341" t="s">
        <v>793</v>
      </c>
      <c r="DL71" s="341">
        <f>DL61*(DM71/DM61)^(0.67)</f>
        <v>175361093.04293966</v>
      </c>
      <c r="DM71" s="288">
        <v>516470.799</v>
      </c>
      <c r="DO71" s="341" t="s">
        <v>793</v>
      </c>
      <c r="DP71" s="341">
        <f>DP61*(DQ71/DQ61)^(0.67)</f>
        <v>148695979.91824725</v>
      </c>
      <c r="DQ71" s="288">
        <v>403765.61300000001</v>
      </c>
      <c r="DS71"/>
      <c r="DT71"/>
      <c r="DU71"/>
      <c r="DV71"/>
      <c r="DW71"/>
      <c r="DX71"/>
      <c r="DY71"/>
      <c r="DZ71"/>
      <c r="EA71"/>
      <c r="EB71"/>
      <c r="EC71"/>
      <c r="ED71"/>
      <c r="EE71"/>
    </row>
    <row r="72" spans="2:135">
      <c r="B72" s="803" t="s">
        <v>149</v>
      </c>
      <c r="C72" s="803">
        <v>1476700</v>
      </c>
      <c r="F72" s="342" t="s">
        <v>607</v>
      </c>
      <c r="G72" s="341"/>
      <c r="K72" s="342" t="s">
        <v>607</v>
      </c>
      <c r="L72" s="341"/>
      <c r="P72" s="342" t="s">
        <v>607</v>
      </c>
      <c r="Q72" s="341"/>
      <c r="U72" s="342" t="s">
        <v>607</v>
      </c>
      <c r="V72" s="341"/>
      <c r="Y72" s="342" t="s">
        <v>607</v>
      </c>
      <c r="Z72" s="341"/>
      <c r="AB72"/>
      <c r="AC72" s="342" t="s">
        <v>607</v>
      </c>
      <c r="AD72" s="341"/>
      <c r="AG72" s="342" t="s">
        <v>607</v>
      </c>
      <c r="AH72" s="341"/>
      <c r="AK72" s="342" t="s">
        <v>607</v>
      </c>
      <c r="AL72" s="341"/>
      <c r="AO72" s="342" t="s">
        <v>607</v>
      </c>
      <c r="AP72" s="341"/>
      <c r="AS72" s="342" t="s">
        <v>607</v>
      </c>
      <c r="AT72" s="341"/>
      <c r="AY72" s="342" t="s">
        <v>607</v>
      </c>
      <c r="AZ72" s="341"/>
      <c r="BD72" s="342" t="s">
        <v>607</v>
      </c>
      <c r="BE72" s="341"/>
      <c r="BI72" s="342" t="s">
        <v>607</v>
      </c>
      <c r="BJ72" s="341"/>
      <c r="BO72" s="342" t="s">
        <v>607</v>
      </c>
      <c r="BP72" s="341"/>
      <c r="BV72" s="342" t="s">
        <v>607</v>
      </c>
      <c r="BW72" s="341"/>
      <c r="CB72" s="342" t="s">
        <v>607</v>
      </c>
      <c r="CC72" s="341"/>
      <c r="CH72" s="342" t="s">
        <v>607</v>
      </c>
      <c r="CI72" s="341"/>
      <c r="CM72" s="342" t="s">
        <v>607</v>
      </c>
      <c r="CN72" s="341"/>
      <c r="CQ72" s="342" t="s">
        <v>607</v>
      </c>
      <c r="CR72" s="341"/>
      <c r="CU72" s="342" t="s">
        <v>607</v>
      </c>
      <c r="CV72" s="341"/>
      <c r="CY72" s="342" t="s">
        <v>607</v>
      </c>
      <c r="CZ72" s="341"/>
      <c r="DC72" s="342" t="s">
        <v>607</v>
      </c>
      <c r="DD72" s="341"/>
      <c r="DG72" s="342" t="s">
        <v>607</v>
      </c>
      <c r="DH72" s="341"/>
      <c r="DK72" s="342" t="s">
        <v>607</v>
      </c>
      <c r="DL72" s="341"/>
      <c r="DO72" s="342" t="s">
        <v>607</v>
      </c>
      <c r="DP72" s="341"/>
      <c r="DS72"/>
      <c r="DT72"/>
      <c r="DU72"/>
      <c r="DV72"/>
      <c r="DW72"/>
      <c r="DX72"/>
      <c r="DY72"/>
      <c r="DZ72"/>
      <c r="EA72"/>
      <c r="EB72"/>
      <c r="EC72"/>
      <c r="ED72"/>
      <c r="EE72"/>
    </row>
    <row r="73" spans="2:135">
      <c r="B73" s="803" t="s">
        <v>127</v>
      </c>
      <c r="C73" s="803">
        <v>1090800</v>
      </c>
      <c r="F73" s="341" t="s">
        <v>536</v>
      </c>
      <c r="G73" s="341">
        <v>630000</v>
      </c>
      <c r="K73" s="341" t="s">
        <v>149</v>
      </c>
      <c r="L73" s="341">
        <v>460200</v>
      </c>
      <c r="P73" s="341" t="s">
        <v>149</v>
      </c>
      <c r="Q73" s="341">
        <v>301300</v>
      </c>
      <c r="U73" s="341" t="s">
        <v>536</v>
      </c>
      <c r="V73" s="341">
        <v>178900</v>
      </c>
      <c r="Y73" s="341" t="s">
        <v>536</v>
      </c>
      <c r="Z73" s="341">
        <v>630000</v>
      </c>
      <c r="AB73"/>
      <c r="AC73" s="341" t="s">
        <v>149</v>
      </c>
      <c r="AD73" s="341">
        <v>460200</v>
      </c>
      <c r="AG73" s="341" t="s">
        <v>149</v>
      </c>
      <c r="AH73" s="341">
        <v>301300</v>
      </c>
      <c r="AK73" s="341" t="s">
        <v>536</v>
      </c>
      <c r="AL73" s="341">
        <v>178900</v>
      </c>
      <c r="AO73" s="341" t="s">
        <v>536</v>
      </c>
      <c r="AP73" s="341">
        <v>630000</v>
      </c>
      <c r="AS73" s="341" t="s">
        <v>149</v>
      </c>
      <c r="AT73" s="341">
        <v>460200</v>
      </c>
      <c r="AY73" s="341" t="s">
        <v>149</v>
      </c>
      <c r="AZ73" s="341">
        <v>301300</v>
      </c>
      <c r="BD73" s="341" t="s">
        <v>536</v>
      </c>
      <c r="BE73" s="341">
        <v>178900</v>
      </c>
      <c r="BI73" s="341" t="s">
        <v>536</v>
      </c>
      <c r="BJ73" s="341">
        <v>630000</v>
      </c>
      <c r="BO73" s="341" t="s">
        <v>149</v>
      </c>
      <c r="BP73" s="341">
        <v>460200</v>
      </c>
      <c r="BV73" s="341" t="s">
        <v>149</v>
      </c>
      <c r="BW73" s="341">
        <v>301300</v>
      </c>
      <c r="CB73" s="341" t="s">
        <v>536</v>
      </c>
      <c r="CC73" s="341">
        <v>178900</v>
      </c>
      <c r="CH73" s="341" t="s">
        <v>536</v>
      </c>
      <c r="CI73" s="341">
        <v>913600</v>
      </c>
      <c r="CM73" s="341" t="s">
        <v>536</v>
      </c>
      <c r="CN73" s="341">
        <v>701000</v>
      </c>
      <c r="CQ73" s="341" t="s">
        <v>536</v>
      </c>
      <c r="CR73" s="341">
        <v>835200</v>
      </c>
      <c r="CU73" s="341" t="s">
        <v>536</v>
      </c>
      <c r="CV73" s="341">
        <v>937100</v>
      </c>
      <c r="CY73" s="341" t="s">
        <v>536</v>
      </c>
      <c r="CZ73" s="341">
        <v>2203100</v>
      </c>
      <c r="DC73" s="341" t="s">
        <v>536</v>
      </c>
      <c r="DD73" s="341">
        <v>2614800</v>
      </c>
      <c r="DG73" s="832" t="s">
        <v>536</v>
      </c>
      <c r="DH73" s="341">
        <v>3033200</v>
      </c>
      <c r="DK73" s="341"/>
      <c r="DL73" s="341"/>
      <c r="DO73" s="341"/>
      <c r="DP73" s="341"/>
      <c r="DS73"/>
      <c r="DT73"/>
      <c r="DU73"/>
      <c r="DV73"/>
      <c r="DW73"/>
      <c r="DX73"/>
      <c r="DY73"/>
      <c r="DZ73"/>
      <c r="EA73"/>
      <c r="EB73"/>
      <c r="EC73"/>
      <c r="ED73"/>
      <c r="EE73"/>
    </row>
    <row r="74" spans="2:135">
      <c r="B74" s="803" t="s">
        <v>125</v>
      </c>
      <c r="C74" s="803">
        <v>949500</v>
      </c>
      <c r="F74" s="341" t="s">
        <v>558</v>
      </c>
      <c r="G74" s="341">
        <v>788700</v>
      </c>
      <c r="K74" s="341" t="s">
        <v>127</v>
      </c>
      <c r="L74" s="341">
        <v>588700</v>
      </c>
      <c r="P74" s="341" t="s">
        <v>127</v>
      </c>
      <c r="Q74" s="341">
        <v>469400</v>
      </c>
      <c r="U74" s="341" t="s">
        <v>558</v>
      </c>
      <c r="V74" s="341">
        <v>472400</v>
      </c>
      <c r="Y74" s="341" t="s">
        <v>558</v>
      </c>
      <c r="Z74" s="341">
        <v>788700</v>
      </c>
      <c r="AB74"/>
      <c r="AC74" s="341" t="s">
        <v>127</v>
      </c>
      <c r="AD74" s="341">
        <v>588700</v>
      </c>
      <c r="AG74" s="341" t="s">
        <v>127</v>
      </c>
      <c r="AH74" s="341">
        <v>469400</v>
      </c>
      <c r="AK74" s="341" t="s">
        <v>558</v>
      </c>
      <c r="AL74" s="341">
        <v>472400</v>
      </c>
      <c r="AO74" s="341" t="s">
        <v>558</v>
      </c>
      <c r="AP74" s="341">
        <v>788700</v>
      </c>
      <c r="AS74" s="341" t="s">
        <v>127</v>
      </c>
      <c r="AT74" s="341">
        <v>588700</v>
      </c>
      <c r="AY74" s="341" t="s">
        <v>127</v>
      </c>
      <c r="AZ74" s="341">
        <v>469400</v>
      </c>
      <c r="BD74" s="341" t="s">
        <v>558</v>
      </c>
      <c r="BE74" s="341">
        <v>472400</v>
      </c>
      <c r="BI74" s="341" t="s">
        <v>558</v>
      </c>
      <c r="BJ74" s="341">
        <v>788700</v>
      </c>
      <c r="BO74" s="341" t="s">
        <v>127</v>
      </c>
      <c r="BP74" s="341">
        <v>588700</v>
      </c>
      <c r="BV74" s="341" t="s">
        <v>127</v>
      </c>
      <c r="BW74" s="341">
        <v>469400</v>
      </c>
      <c r="CB74" s="341" t="s">
        <v>558</v>
      </c>
      <c r="CC74" s="341">
        <v>472400</v>
      </c>
      <c r="CH74" s="341" t="s">
        <v>558</v>
      </c>
      <c r="CI74" s="341">
        <v>1099300</v>
      </c>
      <c r="CM74" s="341" t="s">
        <v>558</v>
      </c>
      <c r="CN74" s="341">
        <v>925800</v>
      </c>
      <c r="CQ74" s="341" t="s">
        <v>558</v>
      </c>
      <c r="CR74" s="341">
        <v>1105500</v>
      </c>
      <c r="CU74" s="341" t="s">
        <v>558</v>
      </c>
      <c r="CV74" s="341">
        <v>1280100</v>
      </c>
      <c r="CY74" s="341" t="s">
        <v>558</v>
      </c>
      <c r="CZ74" s="341">
        <v>3167000</v>
      </c>
      <c r="DC74" s="341" t="s">
        <v>558</v>
      </c>
      <c r="DD74" s="341">
        <v>4007800</v>
      </c>
      <c r="DG74" s="832" t="s">
        <v>558</v>
      </c>
      <c r="DH74" s="341">
        <v>4799400</v>
      </c>
      <c r="DK74" s="341" t="s">
        <v>127</v>
      </c>
      <c r="DL74" s="341">
        <f>DL75*(DM74/DM75)^0.67</f>
        <v>2809442.2536082906</v>
      </c>
      <c r="DM74" s="288">
        <v>-10.0104162</v>
      </c>
      <c r="DO74" s="341" t="s">
        <v>536</v>
      </c>
      <c r="DP74" s="341">
        <v>2600600</v>
      </c>
      <c r="DQ74" s="288">
        <v>-25.547287900000001</v>
      </c>
      <c r="DS74"/>
      <c r="DT74"/>
      <c r="DU74"/>
      <c r="DV74"/>
      <c r="DW74"/>
      <c r="DX74"/>
      <c r="DY74"/>
      <c r="DZ74"/>
      <c r="EA74"/>
      <c r="EB74"/>
      <c r="EC74"/>
      <c r="ED74"/>
      <c r="EE74"/>
    </row>
    <row r="75" spans="2:135">
      <c r="B75" s="803" t="s">
        <v>79</v>
      </c>
      <c r="C75" s="803">
        <v>444700</v>
      </c>
      <c r="F75" s="341" t="s">
        <v>549</v>
      </c>
      <c r="G75" s="341">
        <v>1325800</v>
      </c>
      <c r="K75" s="341" t="s">
        <v>125</v>
      </c>
      <c r="L75" s="341">
        <v>955800</v>
      </c>
      <c r="P75" s="341" t="s">
        <v>125</v>
      </c>
      <c r="Q75" s="341">
        <v>757100</v>
      </c>
      <c r="U75" s="341" t="s">
        <v>549</v>
      </c>
      <c r="V75" s="341">
        <v>660300</v>
      </c>
      <c r="Y75" s="341" t="s">
        <v>549</v>
      </c>
      <c r="Z75" s="341">
        <v>1325800</v>
      </c>
      <c r="AB75"/>
      <c r="AC75" s="341" t="s">
        <v>125</v>
      </c>
      <c r="AD75" s="341">
        <v>955800</v>
      </c>
      <c r="AG75" s="341" t="s">
        <v>125</v>
      </c>
      <c r="AH75" s="341">
        <v>757100</v>
      </c>
      <c r="AK75" s="341" t="s">
        <v>549</v>
      </c>
      <c r="AL75" s="341">
        <v>660300</v>
      </c>
      <c r="AO75" s="341" t="s">
        <v>549</v>
      </c>
      <c r="AP75" s="341">
        <v>1325800</v>
      </c>
      <c r="AS75" s="341" t="s">
        <v>125</v>
      </c>
      <c r="AT75" s="341">
        <v>955800</v>
      </c>
      <c r="AY75" s="341" t="s">
        <v>125</v>
      </c>
      <c r="AZ75" s="341">
        <v>757100</v>
      </c>
      <c r="BD75" s="341" t="s">
        <v>549</v>
      </c>
      <c r="BE75" s="341">
        <v>660300</v>
      </c>
      <c r="BI75" s="341" t="s">
        <v>549</v>
      </c>
      <c r="BJ75" s="341">
        <v>1325800</v>
      </c>
      <c r="BO75" s="341" t="s">
        <v>125</v>
      </c>
      <c r="BP75" s="341">
        <v>955800</v>
      </c>
      <c r="BV75" s="341" t="s">
        <v>125</v>
      </c>
      <c r="BW75" s="341">
        <v>757100</v>
      </c>
      <c r="CB75" s="341" t="s">
        <v>549</v>
      </c>
      <c r="CC75" s="341">
        <v>660300</v>
      </c>
      <c r="CH75" s="341" t="s">
        <v>549</v>
      </c>
      <c r="CI75" s="341">
        <v>1879700</v>
      </c>
      <c r="CM75" s="341" t="s">
        <v>549</v>
      </c>
      <c r="CN75" s="341">
        <v>1456500</v>
      </c>
      <c r="CQ75" s="341" t="s">
        <v>549</v>
      </c>
      <c r="CR75" s="341">
        <v>1768500</v>
      </c>
      <c r="CU75" s="341" t="s">
        <v>549</v>
      </c>
      <c r="CV75" s="341">
        <v>2090500</v>
      </c>
      <c r="CY75" s="341" t="s">
        <v>549</v>
      </c>
      <c r="CZ75" s="341">
        <v>4302400</v>
      </c>
      <c r="DC75" s="341" t="s">
        <v>549</v>
      </c>
      <c r="DD75" s="341">
        <v>5481000</v>
      </c>
      <c r="DG75" s="832" t="s">
        <v>549</v>
      </c>
      <c r="DH75" s="341">
        <v>6423100</v>
      </c>
      <c r="DK75" s="341" t="s">
        <v>125</v>
      </c>
      <c r="DL75" s="341">
        <v>8594700</v>
      </c>
      <c r="DM75" s="288">
        <v>-53.118290899999998</v>
      </c>
      <c r="DO75" s="341" t="s">
        <v>558</v>
      </c>
      <c r="DP75" s="341">
        <v>4656900</v>
      </c>
      <c r="DS75"/>
      <c r="DT75"/>
      <c r="DU75"/>
      <c r="DV75"/>
      <c r="DW75"/>
      <c r="DX75"/>
      <c r="DY75"/>
      <c r="DZ75"/>
      <c r="EA75"/>
      <c r="EB75"/>
      <c r="EC75"/>
      <c r="ED75"/>
      <c r="EE75"/>
    </row>
    <row r="76" spans="2:135">
      <c r="B76" s="803" t="s">
        <v>80</v>
      </c>
      <c r="C76" s="803">
        <v>443200</v>
      </c>
      <c r="F76" s="341" t="s">
        <v>550</v>
      </c>
      <c r="G76" s="341">
        <v>1456500</v>
      </c>
      <c r="K76" s="341" t="s">
        <v>79</v>
      </c>
      <c r="L76" s="341">
        <v>1099300</v>
      </c>
      <c r="P76" s="341" t="s">
        <v>79</v>
      </c>
      <c r="Q76" s="341">
        <v>900300</v>
      </c>
      <c r="U76" s="341" t="s">
        <v>550</v>
      </c>
      <c r="V76" s="341">
        <v>757100</v>
      </c>
      <c r="Y76" s="341" t="s">
        <v>550</v>
      </c>
      <c r="Z76" s="341">
        <v>1456500</v>
      </c>
      <c r="AB76"/>
      <c r="AC76" s="341" t="s">
        <v>79</v>
      </c>
      <c r="AD76" s="341">
        <v>1099300</v>
      </c>
      <c r="AG76" s="341" t="s">
        <v>79</v>
      </c>
      <c r="AH76" s="341">
        <v>900300</v>
      </c>
      <c r="AK76" s="341" t="s">
        <v>550</v>
      </c>
      <c r="AL76" s="341">
        <v>757100</v>
      </c>
      <c r="AO76" s="341" t="s">
        <v>550</v>
      </c>
      <c r="AP76" s="341">
        <v>1456500</v>
      </c>
      <c r="AS76" s="341" t="s">
        <v>79</v>
      </c>
      <c r="AT76" s="341">
        <v>1099300</v>
      </c>
      <c r="AY76" s="341" t="s">
        <v>79</v>
      </c>
      <c r="AZ76" s="341">
        <v>900300</v>
      </c>
      <c r="BD76" s="341" t="s">
        <v>550</v>
      </c>
      <c r="BE76" s="341">
        <v>757100</v>
      </c>
      <c r="BI76" s="341" t="s">
        <v>550</v>
      </c>
      <c r="BJ76" s="341">
        <v>1456500</v>
      </c>
      <c r="BO76" s="341" t="s">
        <v>79</v>
      </c>
      <c r="BP76" s="341">
        <v>1099300</v>
      </c>
      <c r="BV76" s="341" t="s">
        <v>79</v>
      </c>
      <c r="BW76" s="341">
        <v>900300</v>
      </c>
      <c r="CB76" s="341" t="s">
        <v>550</v>
      </c>
      <c r="CC76" s="341">
        <v>757100</v>
      </c>
      <c r="CH76" s="341" t="s">
        <v>550</v>
      </c>
      <c r="CI76" s="341">
        <v>1989700</v>
      </c>
      <c r="CM76" s="341" t="s">
        <v>550</v>
      </c>
      <c r="CN76" s="341">
        <v>1596600</v>
      </c>
      <c r="CQ76" s="341" t="s">
        <v>550</v>
      </c>
      <c r="CR76" s="341">
        <v>1924300</v>
      </c>
      <c r="CU76" s="341" t="s">
        <v>550</v>
      </c>
      <c r="CV76" s="341">
        <v>2225900</v>
      </c>
      <c r="CY76" s="341" t="s">
        <v>550</v>
      </c>
      <c r="CZ76" s="341">
        <v>5068700</v>
      </c>
      <c r="DC76" s="341" t="s">
        <v>550</v>
      </c>
      <c r="DD76" s="341">
        <v>6305900</v>
      </c>
      <c r="DG76" s="832" t="s">
        <v>550</v>
      </c>
      <c r="DH76" s="341">
        <v>7518400</v>
      </c>
      <c r="DK76" s="341" t="s">
        <v>79</v>
      </c>
      <c r="DL76" s="341">
        <v>7039000</v>
      </c>
      <c r="DO76" s="341" t="s">
        <v>549</v>
      </c>
      <c r="DP76" s="341">
        <v>6742500</v>
      </c>
      <c r="DS76"/>
      <c r="DT76"/>
      <c r="DU76"/>
      <c r="DV76"/>
      <c r="DW76"/>
      <c r="DX76"/>
      <c r="DY76"/>
      <c r="DZ76"/>
      <c r="EA76"/>
      <c r="EB76"/>
      <c r="EC76"/>
      <c r="ED76"/>
      <c r="EE76"/>
    </row>
    <row r="77" spans="2:135">
      <c r="B77" s="803" t="s">
        <v>608</v>
      </c>
      <c r="C77" s="803"/>
      <c r="F77" s="341" t="s">
        <v>547</v>
      </c>
      <c r="G77" s="341">
        <v>1989700</v>
      </c>
      <c r="K77" s="341" t="s">
        <v>80</v>
      </c>
      <c r="L77" s="341">
        <v>1989700</v>
      </c>
      <c r="P77" s="341" t="s">
        <v>80</v>
      </c>
      <c r="Q77" s="341">
        <v>2297400</v>
      </c>
      <c r="U77" s="341" t="s">
        <v>547</v>
      </c>
      <c r="V77" s="341">
        <v>2679100</v>
      </c>
      <c r="Y77" s="341" t="s">
        <v>547</v>
      </c>
      <c r="Z77" s="341">
        <v>1989700</v>
      </c>
      <c r="AB77"/>
      <c r="AC77" s="341" t="s">
        <v>80</v>
      </c>
      <c r="AD77" s="341">
        <v>1989700</v>
      </c>
      <c r="AG77" s="341" t="s">
        <v>80</v>
      </c>
      <c r="AH77" s="341">
        <v>2297400</v>
      </c>
      <c r="AK77" s="341" t="s">
        <v>547</v>
      </c>
      <c r="AL77" s="341">
        <v>2679100</v>
      </c>
      <c r="AO77" s="341" t="s">
        <v>547</v>
      </c>
      <c r="AP77" s="341">
        <v>1989700</v>
      </c>
      <c r="AS77" s="341" t="s">
        <v>80</v>
      </c>
      <c r="AT77" s="341">
        <v>1989700</v>
      </c>
      <c r="AY77" s="341" t="s">
        <v>80</v>
      </c>
      <c r="AZ77" s="341">
        <v>2297400</v>
      </c>
      <c r="BD77" s="341" t="s">
        <v>547</v>
      </c>
      <c r="BE77" s="341">
        <v>2679100</v>
      </c>
      <c r="BI77" s="341" t="s">
        <v>547</v>
      </c>
      <c r="BJ77" s="341">
        <v>1989700</v>
      </c>
      <c r="BO77" s="341" t="s">
        <v>80</v>
      </c>
      <c r="BP77" s="341">
        <v>1989700</v>
      </c>
      <c r="BV77" s="341" t="s">
        <v>80</v>
      </c>
      <c r="BW77" s="341">
        <v>2297400</v>
      </c>
      <c r="CB77" s="341" t="s">
        <v>547</v>
      </c>
      <c r="CC77" s="341">
        <v>2679100</v>
      </c>
      <c r="CH77" s="341" t="s">
        <v>547</v>
      </c>
      <c r="CI77" s="341">
        <v>2775100</v>
      </c>
      <c r="CM77" s="341" t="s">
        <v>547</v>
      </c>
      <c r="CN77" s="341">
        <v>2173100</v>
      </c>
      <c r="CQ77" s="341" t="s">
        <v>547</v>
      </c>
      <c r="CR77" s="341">
        <v>2679100</v>
      </c>
      <c r="CU77" s="341" t="s">
        <v>547</v>
      </c>
      <c r="CV77" s="341">
        <v>3090200</v>
      </c>
      <c r="CY77" s="341" t="s">
        <v>547</v>
      </c>
      <c r="CZ77" s="341">
        <v>7039000</v>
      </c>
      <c r="DC77" s="341" t="s">
        <v>547</v>
      </c>
      <c r="DD77" s="341">
        <v>8818500</v>
      </c>
      <c r="DG77" s="832"/>
      <c r="DH77" s="341"/>
      <c r="DK77" s="341" t="s">
        <v>80</v>
      </c>
      <c r="DL77" s="341">
        <v>4158400</v>
      </c>
      <c r="DM77" s="288">
        <v>-326.65198500000002</v>
      </c>
      <c r="DO77" s="341" t="s">
        <v>550</v>
      </c>
      <c r="DP77" s="341">
        <v>7770100</v>
      </c>
      <c r="DS77"/>
      <c r="DT77"/>
      <c r="DU77"/>
      <c r="DV77"/>
      <c r="DW77"/>
      <c r="DX77"/>
      <c r="DY77"/>
      <c r="DZ77"/>
      <c r="EA77"/>
      <c r="EB77"/>
      <c r="EC77"/>
      <c r="ED77"/>
      <c r="EE77"/>
    </row>
    <row r="78" spans="2:135">
      <c r="B78" s="803" t="s">
        <v>154</v>
      </c>
      <c r="C78" s="803">
        <v>125300</v>
      </c>
      <c r="F78" s="342" t="s">
        <v>608</v>
      </c>
      <c r="G78" s="341"/>
      <c r="K78" s="342" t="s">
        <v>608</v>
      </c>
      <c r="L78" s="341"/>
      <c r="P78" s="342" t="s">
        <v>608</v>
      </c>
      <c r="Q78" s="341"/>
      <c r="U78" s="342" t="s">
        <v>608</v>
      </c>
      <c r="V78" s="341"/>
      <c r="Y78" s="342" t="s">
        <v>608</v>
      </c>
      <c r="Z78" s="341"/>
      <c r="AB78"/>
      <c r="AC78" s="342" t="s">
        <v>608</v>
      </c>
      <c r="AD78" s="341"/>
      <c r="AG78" s="342" t="s">
        <v>608</v>
      </c>
      <c r="AH78" s="341"/>
      <c r="AK78" s="342" t="s">
        <v>608</v>
      </c>
      <c r="AL78" s="341"/>
      <c r="AO78" s="342" t="s">
        <v>608</v>
      </c>
      <c r="AP78" s="341"/>
      <c r="AS78" s="342" t="s">
        <v>608</v>
      </c>
      <c r="AT78" s="341"/>
      <c r="AY78" s="342" t="s">
        <v>608</v>
      </c>
      <c r="AZ78" s="341"/>
      <c r="BD78" s="342" t="s">
        <v>608</v>
      </c>
      <c r="BE78" s="341"/>
      <c r="BI78" s="342" t="s">
        <v>608</v>
      </c>
      <c r="BJ78" s="341"/>
      <c r="BO78" s="342" t="s">
        <v>608</v>
      </c>
      <c r="BP78" s="341"/>
      <c r="BV78" s="342" t="s">
        <v>608</v>
      </c>
      <c r="BW78" s="341"/>
      <c r="CB78" s="342" t="s">
        <v>608</v>
      </c>
      <c r="CC78" s="341"/>
      <c r="CH78" s="342" t="s">
        <v>608</v>
      </c>
      <c r="CI78" s="341"/>
      <c r="CM78" s="342" t="s">
        <v>608</v>
      </c>
      <c r="CN78" s="341"/>
      <c r="CQ78" s="342" t="s">
        <v>608</v>
      </c>
      <c r="CR78" s="341"/>
      <c r="CU78" s="342" t="s">
        <v>608</v>
      </c>
      <c r="CV78" s="341"/>
      <c r="CY78" s="342" t="s">
        <v>608</v>
      </c>
      <c r="CZ78" s="341"/>
      <c r="DC78" s="342" t="s">
        <v>608</v>
      </c>
      <c r="DD78" s="341"/>
      <c r="DG78" s="342" t="s">
        <v>608</v>
      </c>
      <c r="DH78" s="341"/>
      <c r="DK78" s="342" t="s">
        <v>608</v>
      </c>
      <c r="DL78" s="341"/>
      <c r="DO78" s="342" t="s">
        <v>608</v>
      </c>
      <c r="DP78" s="341"/>
      <c r="DS78"/>
      <c r="DT78"/>
      <c r="DU78"/>
      <c r="DV78"/>
      <c r="DW78"/>
      <c r="DX78"/>
      <c r="DY78"/>
      <c r="DZ78"/>
      <c r="EA78"/>
      <c r="EB78"/>
      <c r="EC78"/>
      <c r="ED78"/>
      <c r="EE78"/>
    </row>
    <row r="79" spans="2:135">
      <c r="B79" s="803" t="s">
        <v>126</v>
      </c>
      <c r="C79" s="803">
        <v>1031800</v>
      </c>
      <c r="F79" s="341" t="s">
        <v>154</v>
      </c>
      <c r="G79" s="341">
        <v>307500</v>
      </c>
      <c r="K79" s="341" t="s">
        <v>154</v>
      </c>
      <c r="L79" s="341">
        <v>233400</v>
      </c>
      <c r="P79" s="341" t="s">
        <v>154</v>
      </c>
      <c r="Q79" s="341">
        <v>778200</v>
      </c>
      <c r="U79" s="341" t="s">
        <v>154</v>
      </c>
      <c r="V79" s="341">
        <v>299600</v>
      </c>
      <c r="Y79" s="341" t="s">
        <v>154</v>
      </c>
      <c r="Z79" s="341">
        <v>307500</v>
      </c>
      <c r="AB79"/>
      <c r="AC79" s="341" t="s">
        <v>154</v>
      </c>
      <c r="AD79" s="341">
        <v>233400</v>
      </c>
      <c r="AG79" s="341" t="s">
        <v>154</v>
      </c>
      <c r="AH79" s="341">
        <v>778200</v>
      </c>
      <c r="AK79" s="341" t="s">
        <v>154</v>
      </c>
      <c r="AL79" s="341">
        <v>299600</v>
      </c>
      <c r="AO79" s="341" t="s">
        <v>154</v>
      </c>
      <c r="AP79" s="341">
        <v>307500</v>
      </c>
      <c r="AS79" s="341" t="s">
        <v>154</v>
      </c>
      <c r="AT79" s="341">
        <v>233400</v>
      </c>
      <c r="AY79" s="341" t="s">
        <v>154</v>
      </c>
      <c r="AZ79" s="341">
        <v>778200</v>
      </c>
      <c r="BD79" s="341" t="s">
        <v>154</v>
      </c>
      <c r="BE79" s="341">
        <v>299600</v>
      </c>
      <c r="BI79" s="341" t="s">
        <v>154</v>
      </c>
      <c r="BJ79" s="341">
        <v>307500</v>
      </c>
      <c r="BO79" s="341" t="s">
        <v>154</v>
      </c>
      <c r="BP79" s="341">
        <v>233400</v>
      </c>
      <c r="BV79" s="341" t="s">
        <v>154</v>
      </c>
      <c r="BW79" s="341">
        <v>778200</v>
      </c>
      <c r="CB79" s="341" t="s">
        <v>154</v>
      </c>
      <c r="CC79" s="341">
        <v>299600</v>
      </c>
      <c r="CH79" s="341" t="s">
        <v>154</v>
      </c>
      <c r="CI79" s="341">
        <v>93900</v>
      </c>
      <c r="CM79" s="341" t="s">
        <v>154</v>
      </c>
      <c r="CN79" s="341">
        <v>122800</v>
      </c>
      <c r="CQ79" s="341" t="s">
        <v>154</v>
      </c>
      <c r="CR79" s="341">
        <v>122300</v>
      </c>
      <c r="CU79" s="341" t="s">
        <v>154</v>
      </c>
      <c r="CV79" s="341">
        <v>114400</v>
      </c>
      <c r="CY79" s="341" t="s">
        <v>154</v>
      </c>
      <c r="CZ79" s="341">
        <v>73000</v>
      </c>
      <c r="DC79" s="341" t="s">
        <v>154</v>
      </c>
      <c r="DD79" s="341">
        <v>87600</v>
      </c>
      <c r="DG79" s="341"/>
      <c r="DH79" s="341"/>
      <c r="DK79" s="341"/>
      <c r="DL79" s="341"/>
      <c r="DO79" s="341"/>
      <c r="DP79" s="341"/>
      <c r="DS79"/>
      <c r="DT79"/>
      <c r="DU79"/>
      <c r="DV79"/>
      <c r="DW79"/>
      <c r="DX79"/>
      <c r="DY79"/>
      <c r="DZ79"/>
      <c r="EA79"/>
      <c r="EB79"/>
      <c r="EC79"/>
      <c r="ED79"/>
      <c r="EE79"/>
    </row>
    <row r="80" spans="2:135">
      <c r="B80" s="803" t="s">
        <v>156</v>
      </c>
      <c r="C80" s="803">
        <v>3547200</v>
      </c>
      <c r="F80" s="341" t="s">
        <v>126</v>
      </c>
      <c r="G80" s="341">
        <v>3715200</v>
      </c>
      <c r="K80" s="341" t="s">
        <v>126</v>
      </c>
      <c r="L80" s="341">
        <v>1278200</v>
      </c>
      <c r="P80" s="341" t="s">
        <v>126</v>
      </c>
      <c r="Q80" s="341">
        <v>2108400</v>
      </c>
      <c r="U80" s="341" t="s">
        <v>126</v>
      </c>
      <c r="V80" s="341">
        <v>3487500</v>
      </c>
      <c r="Y80" s="341" t="s">
        <v>126</v>
      </c>
      <c r="Z80" s="341">
        <v>3715200</v>
      </c>
      <c r="AB80"/>
      <c r="AC80" s="341" t="s">
        <v>126</v>
      </c>
      <c r="AD80" s="341">
        <v>1278200</v>
      </c>
      <c r="AG80" s="341" t="s">
        <v>126</v>
      </c>
      <c r="AH80" s="341">
        <v>2108400</v>
      </c>
      <c r="AK80" s="341" t="s">
        <v>126</v>
      </c>
      <c r="AL80" s="341">
        <v>3487500</v>
      </c>
      <c r="AO80" s="341" t="s">
        <v>126</v>
      </c>
      <c r="AP80" s="341">
        <v>3715200</v>
      </c>
      <c r="AS80" s="341" t="s">
        <v>126</v>
      </c>
      <c r="AT80" s="341">
        <v>1278200</v>
      </c>
      <c r="AY80" s="341" t="s">
        <v>126</v>
      </c>
      <c r="AZ80" s="341">
        <v>2108400</v>
      </c>
      <c r="BD80" s="341" t="s">
        <v>126</v>
      </c>
      <c r="BE80" s="341">
        <v>3487500</v>
      </c>
      <c r="BI80" s="341" t="s">
        <v>126</v>
      </c>
      <c r="BJ80" s="341">
        <v>3715200</v>
      </c>
      <c r="BO80" s="341" t="s">
        <v>126</v>
      </c>
      <c r="BP80" s="341">
        <v>1278200</v>
      </c>
      <c r="BV80" s="341" t="s">
        <v>126</v>
      </c>
      <c r="BW80" s="341">
        <v>2108400</v>
      </c>
      <c r="CB80" s="341" t="s">
        <v>126</v>
      </c>
      <c r="CC80" s="341">
        <v>3487500</v>
      </c>
      <c r="CH80" s="341" t="s">
        <v>126</v>
      </c>
      <c r="CI80" s="341">
        <v>3446200</v>
      </c>
      <c r="CM80" s="341" t="s">
        <v>126</v>
      </c>
      <c r="CN80" s="341">
        <v>3540200</v>
      </c>
      <c r="CQ80" s="341" t="s">
        <v>126</v>
      </c>
      <c r="CR80" s="341">
        <v>3787500</v>
      </c>
      <c r="CU80" s="341" t="s">
        <v>126</v>
      </c>
      <c r="CV80" s="341">
        <v>4037900</v>
      </c>
      <c r="CY80" s="341" t="s">
        <v>126</v>
      </c>
      <c r="CZ80" s="341">
        <v>3707500</v>
      </c>
      <c r="DC80" s="341" t="s">
        <v>126</v>
      </c>
      <c r="DD80" s="341">
        <v>3750900</v>
      </c>
      <c r="DG80" s="341" t="s">
        <v>126</v>
      </c>
      <c r="DH80" s="341">
        <v>4226800</v>
      </c>
      <c r="DK80" s="341" t="s">
        <v>126</v>
      </c>
      <c r="DL80" s="341">
        <v>4087200</v>
      </c>
      <c r="DO80" s="341" t="s">
        <v>126</v>
      </c>
      <c r="DP80" s="341">
        <v>5348800</v>
      </c>
      <c r="DS80"/>
      <c r="DT80"/>
      <c r="DU80"/>
      <c r="DV80"/>
      <c r="DW80"/>
      <c r="DX80"/>
      <c r="DY80"/>
      <c r="DZ80"/>
      <c r="EA80"/>
      <c r="EB80"/>
      <c r="EC80"/>
      <c r="ED80"/>
      <c r="EE80"/>
    </row>
    <row r="81" spans="2:135">
      <c r="B81" s="803" t="s">
        <v>609</v>
      </c>
      <c r="C81" s="803"/>
      <c r="F81" s="341" t="s">
        <v>156</v>
      </c>
      <c r="G81" s="341">
        <v>5087200</v>
      </c>
      <c r="K81" s="341" t="s">
        <v>156</v>
      </c>
      <c r="L81" s="341">
        <v>4754300</v>
      </c>
      <c r="P81" s="341" t="s">
        <v>156</v>
      </c>
      <c r="Q81" s="341">
        <v>4613900</v>
      </c>
      <c r="U81" s="341" t="s">
        <v>156</v>
      </c>
      <c r="V81" s="341">
        <v>5039300</v>
      </c>
      <c r="Y81" s="341" t="s">
        <v>156</v>
      </c>
      <c r="Z81" s="341">
        <v>5087200</v>
      </c>
      <c r="AB81"/>
      <c r="AC81" s="341" t="s">
        <v>156</v>
      </c>
      <c r="AD81" s="341">
        <v>4754300</v>
      </c>
      <c r="AG81" s="341" t="s">
        <v>156</v>
      </c>
      <c r="AH81" s="341">
        <v>4613900</v>
      </c>
      <c r="AK81" s="341" t="s">
        <v>156</v>
      </c>
      <c r="AL81" s="341">
        <v>5039300</v>
      </c>
      <c r="AO81" s="341" t="s">
        <v>156</v>
      </c>
      <c r="AP81" s="341">
        <v>5087200</v>
      </c>
      <c r="AS81" s="341" t="s">
        <v>156</v>
      </c>
      <c r="AT81" s="341">
        <v>4754300</v>
      </c>
      <c r="AY81" s="341" t="s">
        <v>156</v>
      </c>
      <c r="AZ81" s="341">
        <v>4613900</v>
      </c>
      <c r="BD81" s="341" t="s">
        <v>156</v>
      </c>
      <c r="BE81" s="341">
        <v>5039300</v>
      </c>
      <c r="BI81" s="341" t="s">
        <v>156</v>
      </c>
      <c r="BJ81" s="341">
        <v>5087200</v>
      </c>
      <c r="BO81" s="341" t="s">
        <v>156</v>
      </c>
      <c r="BP81" s="341">
        <v>4754300</v>
      </c>
      <c r="BV81" s="341" t="s">
        <v>156</v>
      </c>
      <c r="BW81" s="341">
        <v>4613900</v>
      </c>
      <c r="CB81" s="341" t="s">
        <v>156</v>
      </c>
      <c r="CC81" s="341">
        <v>5039300</v>
      </c>
      <c r="CH81" s="341" t="s">
        <v>156</v>
      </c>
      <c r="CI81" s="341">
        <v>5899000</v>
      </c>
      <c r="CM81" s="341" t="s">
        <v>156</v>
      </c>
      <c r="CN81" s="341">
        <v>4688900</v>
      </c>
      <c r="CQ81" s="341" t="s">
        <v>156</v>
      </c>
      <c r="CR81" s="341">
        <v>6155600</v>
      </c>
      <c r="CU81" s="341" t="s">
        <v>156</v>
      </c>
      <c r="CV81" s="341">
        <v>6155500</v>
      </c>
      <c r="CY81" s="341" t="s">
        <v>156</v>
      </c>
      <c r="CZ81" s="341">
        <v>5668100</v>
      </c>
      <c r="DC81" s="341" t="s">
        <v>156</v>
      </c>
      <c r="DD81" s="341">
        <v>5557600</v>
      </c>
      <c r="DG81" s="341" t="s">
        <v>156</v>
      </c>
      <c r="DH81" s="341">
        <v>5567800</v>
      </c>
      <c r="DK81" s="341" t="s">
        <v>156</v>
      </c>
      <c r="DL81" s="341">
        <v>5236000</v>
      </c>
      <c r="DO81" s="341" t="s">
        <v>156</v>
      </c>
      <c r="DP81" s="341">
        <v>5384200</v>
      </c>
      <c r="DS81"/>
      <c r="DT81"/>
      <c r="DU81"/>
      <c r="DV81"/>
      <c r="DW81"/>
      <c r="DX81"/>
      <c r="DY81"/>
      <c r="DZ81"/>
      <c r="EA81"/>
      <c r="EB81"/>
      <c r="EC81"/>
      <c r="ED81"/>
      <c r="EE81"/>
    </row>
    <row r="82" spans="2:135">
      <c r="B82" s="803" t="s">
        <v>146</v>
      </c>
      <c r="C82" s="803">
        <v>12850900</v>
      </c>
      <c r="F82" s="342" t="s">
        <v>609</v>
      </c>
      <c r="G82" s="341"/>
      <c r="K82" s="342" t="s">
        <v>609</v>
      </c>
      <c r="L82" s="341"/>
      <c r="P82" s="342" t="s">
        <v>609</v>
      </c>
      <c r="Q82" s="341"/>
      <c r="U82" s="342" t="s">
        <v>609</v>
      </c>
      <c r="V82" s="341"/>
      <c r="Y82" s="342" t="s">
        <v>609</v>
      </c>
      <c r="Z82" s="341"/>
      <c r="AB82"/>
      <c r="AC82" s="342" t="s">
        <v>609</v>
      </c>
      <c r="AD82" s="341"/>
      <c r="AG82" s="342" t="s">
        <v>609</v>
      </c>
      <c r="AH82" s="341"/>
      <c r="AK82" s="342" t="s">
        <v>609</v>
      </c>
      <c r="AL82" s="341"/>
      <c r="AO82" s="342" t="s">
        <v>609</v>
      </c>
      <c r="AP82" s="341"/>
      <c r="AS82" s="342" t="s">
        <v>609</v>
      </c>
      <c r="AT82" s="341"/>
      <c r="AY82" s="342" t="s">
        <v>609</v>
      </c>
      <c r="AZ82" s="341"/>
      <c r="BD82" s="342" t="s">
        <v>609</v>
      </c>
      <c r="BE82" s="341"/>
      <c r="BI82" s="342" t="s">
        <v>609</v>
      </c>
      <c r="BJ82" s="341"/>
      <c r="BO82" s="342" t="s">
        <v>609</v>
      </c>
      <c r="BP82" s="341"/>
      <c r="BV82" s="342" t="s">
        <v>609</v>
      </c>
      <c r="BW82" s="341"/>
      <c r="CB82" s="342" t="s">
        <v>609</v>
      </c>
      <c r="CC82" s="341"/>
      <c r="CH82" s="342" t="s">
        <v>609</v>
      </c>
      <c r="CI82" s="341"/>
      <c r="CM82" s="342" t="s">
        <v>609</v>
      </c>
      <c r="CN82" s="341"/>
      <c r="CQ82" s="342" t="s">
        <v>609</v>
      </c>
      <c r="CR82" s="341"/>
      <c r="CU82" s="342" t="s">
        <v>609</v>
      </c>
      <c r="CV82" s="341"/>
      <c r="CY82" s="342" t="s">
        <v>609</v>
      </c>
      <c r="CZ82" s="341"/>
      <c r="DC82" s="342" t="s">
        <v>609</v>
      </c>
      <c r="DD82" s="341"/>
      <c r="DG82" s="342" t="s">
        <v>609</v>
      </c>
      <c r="DH82" s="341"/>
      <c r="DK82" s="342" t="s">
        <v>609</v>
      </c>
      <c r="DL82" s="341"/>
      <c r="DO82" s="342" t="s">
        <v>609</v>
      </c>
      <c r="DP82" s="341"/>
      <c r="DS82"/>
      <c r="DT82"/>
      <c r="DU82"/>
      <c r="DV82"/>
      <c r="DW82"/>
      <c r="DX82"/>
      <c r="DY82"/>
      <c r="DZ82"/>
      <c r="EA82"/>
      <c r="EB82"/>
      <c r="EC82"/>
      <c r="ED82"/>
      <c r="EE82"/>
    </row>
    <row r="83" spans="2:135">
      <c r="B83" s="803" t="s">
        <v>148</v>
      </c>
      <c r="C83" s="803">
        <v>4429400</v>
      </c>
      <c r="F83" s="341" t="s">
        <v>832</v>
      </c>
      <c r="G83" s="341">
        <v>2093500</v>
      </c>
      <c r="K83" s="341" t="s">
        <v>832</v>
      </c>
      <c r="L83" s="341">
        <v>1932500</v>
      </c>
      <c r="P83" s="341" t="s">
        <v>832</v>
      </c>
      <c r="Q83" s="341">
        <v>1416600</v>
      </c>
      <c r="R83" s="288">
        <v>-53.451566200000002</v>
      </c>
      <c r="S83" s="288" t="s">
        <v>1087</v>
      </c>
      <c r="U83" s="341" t="s">
        <v>832</v>
      </c>
      <c r="V83" s="341">
        <v>1240100</v>
      </c>
      <c r="W83" s="288">
        <v>-115.87499</v>
      </c>
      <c r="X83" s="288" t="s">
        <v>1087</v>
      </c>
      <c r="Y83" s="341" t="s">
        <v>832</v>
      </c>
      <c r="Z83" s="341">
        <v>2093500</v>
      </c>
      <c r="AC83" s="341" t="s">
        <v>832</v>
      </c>
      <c r="AD83" s="341">
        <v>1932500</v>
      </c>
      <c r="AG83" s="341" t="s">
        <v>832</v>
      </c>
      <c r="AH83" s="341">
        <v>1416600</v>
      </c>
      <c r="AI83" s="288">
        <v>-53.451566200000002</v>
      </c>
      <c r="AK83" s="341" t="s">
        <v>832</v>
      </c>
      <c r="AL83" s="341">
        <v>1240100</v>
      </c>
      <c r="AM83" s="288">
        <v>-115.87499</v>
      </c>
      <c r="AO83" s="341" t="s">
        <v>832</v>
      </c>
      <c r="AP83" s="341">
        <v>2093500</v>
      </c>
      <c r="AS83" s="341" t="s">
        <v>832</v>
      </c>
      <c r="AT83" s="341">
        <v>1932500</v>
      </c>
      <c r="AY83" s="341" t="s">
        <v>832</v>
      </c>
      <c r="AZ83" s="341">
        <v>1416600</v>
      </c>
      <c r="BA83" s="288">
        <v>-53.451566200000002</v>
      </c>
      <c r="BD83" s="341" t="s">
        <v>832</v>
      </c>
      <c r="BE83" s="341">
        <v>1240100</v>
      </c>
      <c r="BF83" s="288">
        <v>-115.87499</v>
      </c>
      <c r="BI83" s="341" t="s">
        <v>832</v>
      </c>
      <c r="BJ83" s="341">
        <v>2093500</v>
      </c>
      <c r="BO83" s="341" t="s">
        <v>832</v>
      </c>
      <c r="BP83" s="341">
        <v>1932500</v>
      </c>
      <c r="BV83" s="341" t="s">
        <v>832</v>
      </c>
      <c r="BW83" s="341">
        <v>1416600</v>
      </c>
      <c r="BX83" s="288">
        <v>-53.451566200000002</v>
      </c>
      <c r="CB83" s="341" t="s">
        <v>832</v>
      </c>
      <c r="CC83" s="341">
        <v>1240100</v>
      </c>
      <c r="CD83" s="288">
        <v>-115.87499</v>
      </c>
      <c r="CH83" s="341" t="s">
        <v>832</v>
      </c>
      <c r="CI83" s="341">
        <v>4877800</v>
      </c>
      <c r="CM83" s="341" t="s">
        <v>832</v>
      </c>
      <c r="CN83" s="341">
        <v>4134300</v>
      </c>
      <c r="CQ83" s="341" t="s">
        <v>832</v>
      </c>
      <c r="CR83" s="341">
        <v>4958600</v>
      </c>
      <c r="CU83" s="341" t="s">
        <v>832</v>
      </c>
      <c r="CV83" s="341">
        <v>3024800</v>
      </c>
      <c r="CY83" s="341" t="s">
        <v>832</v>
      </c>
      <c r="CZ83" s="341">
        <v>12003700</v>
      </c>
      <c r="DA83" s="288">
        <v>-131.79955699999999</v>
      </c>
      <c r="DC83" s="341" t="s">
        <v>832</v>
      </c>
      <c r="DD83" s="341">
        <v>7421900</v>
      </c>
      <c r="DG83" s="341" t="s">
        <v>832</v>
      </c>
      <c r="DH83" s="341">
        <v>8965000</v>
      </c>
      <c r="DK83" s="341" t="s">
        <v>832</v>
      </c>
      <c r="DL83" s="341">
        <v>11237200</v>
      </c>
      <c r="DO83" s="341" t="s">
        <v>832</v>
      </c>
      <c r="DP83" s="341">
        <v>9891600</v>
      </c>
      <c r="DS83"/>
      <c r="DT83"/>
      <c r="DU83"/>
      <c r="DV83"/>
      <c r="DW83"/>
      <c r="DX83"/>
      <c r="DY83"/>
      <c r="DZ83"/>
      <c r="EA83"/>
      <c r="EB83"/>
      <c r="EC83"/>
      <c r="ED83"/>
      <c r="EE83"/>
    </row>
    <row r="84" spans="2:135">
      <c r="B84" s="803" t="s">
        <v>151</v>
      </c>
      <c r="C84" s="803">
        <v>8613900</v>
      </c>
      <c r="F84" s="341" t="s">
        <v>829</v>
      </c>
      <c r="G84" s="341">
        <v>2635300</v>
      </c>
      <c r="K84" s="341" t="s">
        <v>829</v>
      </c>
      <c r="L84" s="341">
        <v>4146300</v>
      </c>
      <c r="M84" s="288">
        <v>-276.36944699999998</v>
      </c>
      <c r="P84" s="341" t="s">
        <v>829</v>
      </c>
      <c r="Q84" s="341">
        <v>2988800</v>
      </c>
      <c r="R84" s="288">
        <v>-126.704528</v>
      </c>
      <c r="S84" s="288" t="s">
        <v>1087</v>
      </c>
      <c r="U84" s="341" t="s">
        <v>829</v>
      </c>
      <c r="V84" s="341">
        <v>8424800</v>
      </c>
      <c r="W84" s="288">
        <v>-263.60945800000002</v>
      </c>
      <c r="X84" s="288" t="s">
        <v>1087</v>
      </c>
      <c r="Y84" s="341" t="s">
        <v>829</v>
      </c>
      <c r="Z84" s="341">
        <v>2635300</v>
      </c>
      <c r="AC84" s="341" t="s">
        <v>829</v>
      </c>
      <c r="AD84" s="341">
        <v>4146300</v>
      </c>
      <c r="AE84" s="288">
        <v>-276.36944699999998</v>
      </c>
      <c r="AG84" s="341" t="s">
        <v>829</v>
      </c>
      <c r="AH84" s="341">
        <v>2988800</v>
      </c>
      <c r="AI84" s="288">
        <v>-126.704528</v>
      </c>
      <c r="AK84" s="341" t="s">
        <v>829</v>
      </c>
      <c r="AL84" s="341">
        <v>8424800</v>
      </c>
      <c r="AM84" s="288">
        <v>-263.60945800000002</v>
      </c>
      <c r="AO84" s="341" t="s">
        <v>829</v>
      </c>
      <c r="AP84" s="341">
        <v>2635300</v>
      </c>
      <c r="AS84" s="341" t="s">
        <v>829</v>
      </c>
      <c r="AT84" s="341">
        <v>4146300</v>
      </c>
      <c r="AU84" s="288">
        <v>-276.36944699999998</v>
      </c>
      <c r="AY84" s="341" t="s">
        <v>829</v>
      </c>
      <c r="AZ84" s="341">
        <v>2988800</v>
      </c>
      <c r="BA84" s="288">
        <v>-126.704528</v>
      </c>
      <c r="BD84" s="341" t="s">
        <v>829</v>
      </c>
      <c r="BE84" s="341">
        <v>8424800</v>
      </c>
      <c r="BF84" s="288">
        <v>-263.60945800000002</v>
      </c>
      <c r="BI84" s="341" t="s">
        <v>829</v>
      </c>
      <c r="BJ84" s="341">
        <v>2635300</v>
      </c>
      <c r="BO84" s="341" t="s">
        <v>829</v>
      </c>
      <c r="BP84" s="341">
        <v>4146300</v>
      </c>
      <c r="BQ84" s="288">
        <v>-276.36944699999998</v>
      </c>
      <c r="BV84" s="341" t="s">
        <v>829</v>
      </c>
      <c r="BW84" s="341">
        <v>2988800</v>
      </c>
      <c r="BX84" s="288">
        <v>-126.704528</v>
      </c>
      <c r="CB84" s="341" t="s">
        <v>829</v>
      </c>
      <c r="CC84" s="341">
        <v>8424800</v>
      </c>
      <c r="CD84" s="288">
        <v>-263.60945800000002</v>
      </c>
      <c r="CH84" s="341" t="s">
        <v>829</v>
      </c>
      <c r="CI84" s="341">
        <v>8697400</v>
      </c>
      <c r="CM84" s="341" t="s">
        <v>829</v>
      </c>
      <c r="CN84" s="341">
        <v>6378400</v>
      </c>
      <c r="CQ84" s="341" t="s">
        <v>829</v>
      </c>
      <c r="CR84" s="341">
        <v>7534200</v>
      </c>
      <c r="CU84" s="341" t="s">
        <v>829</v>
      </c>
      <c r="CV84" s="341">
        <v>2114100</v>
      </c>
      <c r="CY84" s="341" t="s">
        <v>829</v>
      </c>
      <c r="CZ84" s="341">
        <f>CZ83*(DA84/DA83)^0.67</f>
        <v>22282987.008979961</v>
      </c>
      <c r="DA84" s="288">
        <v>-331.81533200000001</v>
      </c>
      <c r="DC84" s="341" t="s">
        <v>829</v>
      </c>
      <c r="DD84" s="341">
        <v>5531800</v>
      </c>
      <c r="DG84" s="341" t="s">
        <v>829</v>
      </c>
      <c r="DH84" s="341">
        <v>6216000</v>
      </c>
      <c r="DK84" s="341" t="s">
        <v>829</v>
      </c>
      <c r="DL84" s="341">
        <v>8065500</v>
      </c>
      <c r="DO84" s="341" t="s">
        <v>829</v>
      </c>
      <c r="DP84" s="341">
        <v>5991400</v>
      </c>
      <c r="DS84"/>
      <c r="DT84"/>
      <c r="DU84"/>
      <c r="DV84"/>
      <c r="DW84"/>
      <c r="DX84"/>
      <c r="DY84"/>
      <c r="DZ84"/>
      <c r="EA84"/>
      <c r="EB84"/>
      <c r="EC84"/>
      <c r="ED84"/>
      <c r="EE84"/>
    </row>
    <row r="85" spans="2:135">
      <c r="B85" s="803" t="s">
        <v>142</v>
      </c>
      <c r="C85" s="803">
        <v>122541.24999233587</v>
      </c>
      <c r="F85" s="341" t="s">
        <v>827</v>
      </c>
      <c r="G85" s="341">
        <v>5702000</v>
      </c>
      <c r="K85" s="341" t="s">
        <v>827</v>
      </c>
      <c r="L85" s="341">
        <v>2483300</v>
      </c>
      <c r="M85" s="288">
        <v>-104.111801</v>
      </c>
      <c r="P85" s="341" t="s">
        <v>827</v>
      </c>
      <c r="Q85" s="341">
        <v>2171700</v>
      </c>
      <c r="U85" s="341" t="s">
        <v>827</v>
      </c>
      <c r="V85" s="341">
        <v>1911000</v>
      </c>
      <c r="Y85" s="341" t="s">
        <v>827</v>
      </c>
      <c r="Z85" s="341">
        <v>5702000</v>
      </c>
      <c r="AB85"/>
      <c r="AC85" s="341" t="s">
        <v>827</v>
      </c>
      <c r="AD85" s="341">
        <v>2483300</v>
      </c>
      <c r="AE85" s="288">
        <v>-104.111801</v>
      </c>
      <c r="AG85" s="341" t="s">
        <v>827</v>
      </c>
      <c r="AH85" s="341">
        <v>2171700</v>
      </c>
      <c r="AK85" s="341" t="s">
        <v>827</v>
      </c>
      <c r="AL85" s="341">
        <v>1911000</v>
      </c>
      <c r="AO85" s="341" t="s">
        <v>827</v>
      </c>
      <c r="AP85" s="341">
        <v>5702000</v>
      </c>
      <c r="AS85" s="341" t="s">
        <v>827</v>
      </c>
      <c r="AT85" s="341">
        <v>2483300</v>
      </c>
      <c r="AU85" s="288">
        <v>-104.111801</v>
      </c>
      <c r="AY85" s="341" t="s">
        <v>827</v>
      </c>
      <c r="AZ85" s="341">
        <v>2171700</v>
      </c>
      <c r="BD85" s="341" t="s">
        <v>827</v>
      </c>
      <c r="BE85" s="341">
        <v>1911000</v>
      </c>
      <c r="BI85" s="341" t="s">
        <v>827</v>
      </c>
      <c r="BJ85" s="341">
        <v>5702000</v>
      </c>
      <c r="BO85" s="341" t="s">
        <v>827</v>
      </c>
      <c r="BP85" s="341">
        <v>2483300</v>
      </c>
      <c r="BQ85" s="288">
        <v>-104.111801</v>
      </c>
      <c r="BV85" s="341" t="s">
        <v>827</v>
      </c>
      <c r="BW85" s="341">
        <v>2171700</v>
      </c>
      <c r="CB85" s="341" t="s">
        <v>827</v>
      </c>
      <c r="CC85" s="341">
        <v>1911000</v>
      </c>
      <c r="CH85" s="341" t="s">
        <v>827</v>
      </c>
      <c r="CI85" s="341">
        <v>3603700</v>
      </c>
      <c r="CM85" s="341" t="s">
        <v>827</v>
      </c>
      <c r="CN85" s="341">
        <v>2536600</v>
      </c>
      <c r="CQ85" s="341" t="s">
        <v>827</v>
      </c>
      <c r="CR85" s="341">
        <v>2988200</v>
      </c>
      <c r="CU85" s="341" t="s">
        <v>827</v>
      </c>
      <c r="CV85" s="341">
        <v>4222200</v>
      </c>
      <c r="CY85" s="341" t="s">
        <v>827</v>
      </c>
      <c r="CZ85" s="341">
        <v>7877300</v>
      </c>
      <c r="DC85" s="341" t="s">
        <v>827</v>
      </c>
      <c r="DD85" s="341">
        <v>11337900</v>
      </c>
      <c r="DG85" s="341" t="s">
        <v>827</v>
      </c>
      <c r="DH85" s="341">
        <v>14041000</v>
      </c>
      <c r="DK85" s="341" t="s">
        <v>827</v>
      </c>
      <c r="DL85" s="341">
        <f>DL86*(DM85/DM86)^0.67</f>
        <v>11706241.161804415</v>
      </c>
      <c r="DM85" s="288">
        <v>-486.16292299999998</v>
      </c>
      <c r="DO85" s="341" t="s">
        <v>827</v>
      </c>
      <c r="DP85" s="341">
        <v>13690200</v>
      </c>
      <c r="DS85"/>
      <c r="DT85"/>
      <c r="DU85"/>
      <c r="DV85"/>
      <c r="DW85"/>
      <c r="DX85"/>
      <c r="DY85"/>
      <c r="DZ85"/>
      <c r="EA85"/>
      <c r="EB85"/>
      <c r="EC85"/>
      <c r="ED85"/>
      <c r="EE85"/>
    </row>
    <row r="86" spans="2:135">
      <c r="B86" s="803" t="s">
        <v>143</v>
      </c>
      <c r="C86" s="803">
        <v>110944.40490680157</v>
      </c>
      <c r="F86" s="341" t="s">
        <v>826</v>
      </c>
      <c r="G86" s="341">
        <v>3370200</v>
      </c>
      <c r="K86" s="341" t="s">
        <v>835</v>
      </c>
      <c r="L86" s="341">
        <v>305000</v>
      </c>
      <c r="P86" s="341" t="s">
        <v>835</v>
      </c>
      <c r="Q86" s="341">
        <v>183600</v>
      </c>
      <c r="U86" s="341" t="s">
        <v>835</v>
      </c>
      <c r="V86" s="341">
        <v>114300</v>
      </c>
      <c r="Y86" s="341" t="s">
        <v>826</v>
      </c>
      <c r="Z86" s="341">
        <v>3370200</v>
      </c>
      <c r="AB86"/>
      <c r="AC86" s="341" t="s">
        <v>835</v>
      </c>
      <c r="AD86" s="341">
        <v>305000</v>
      </c>
      <c r="AG86" s="341" t="s">
        <v>835</v>
      </c>
      <c r="AH86" s="341">
        <v>183600</v>
      </c>
      <c r="AK86" s="341" t="s">
        <v>835</v>
      </c>
      <c r="AL86" s="341">
        <v>114300</v>
      </c>
      <c r="AO86" s="341" t="s">
        <v>826</v>
      </c>
      <c r="AP86" s="341">
        <v>3370200</v>
      </c>
      <c r="AS86" s="341" t="s">
        <v>835</v>
      </c>
      <c r="AT86" s="341">
        <v>305000</v>
      </c>
      <c r="AY86" s="341" t="s">
        <v>835</v>
      </c>
      <c r="AZ86" s="341">
        <v>183600</v>
      </c>
      <c r="BD86" s="341" t="s">
        <v>835</v>
      </c>
      <c r="BE86" s="341">
        <v>114300</v>
      </c>
      <c r="BI86" s="341" t="s">
        <v>826</v>
      </c>
      <c r="BJ86" s="341">
        <v>3370200</v>
      </c>
      <c r="BO86" s="341" t="s">
        <v>835</v>
      </c>
      <c r="BP86" s="341">
        <v>305000</v>
      </c>
      <c r="BV86" s="341" t="s">
        <v>835</v>
      </c>
      <c r="BW86" s="341">
        <v>183600</v>
      </c>
      <c r="CB86" s="341" t="s">
        <v>835</v>
      </c>
      <c r="CC86" s="341">
        <v>114300</v>
      </c>
      <c r="CH86" s="341" t="s">
        <v>835</v>
      </c>
      <c r="CI86" s="341">
        <v>3017000</v>
      </c>
      <c r="CM86" s="341" t="s">
        <v>835</v>
      </c>
      <c r="CN86" s="341">
        <v>2043600</v>
      </c>
      <c r="CQ86" s="341" t="s">
        <v>835</v>
      </c>
      <c r="CR86" s="341">
        <v>2355700</v>
      </c>
      <c r="CU86" s="341" t="s">
        <v>835</v>
      </c>
      <c r="CV86" s="341">
        <v>2453800</v>
      </c>
      <c r="CY86" s="341" t="s">
        <v>835</v>
      </c>
      <c r="CZ86" s="341">
        <v>6170800</v>
      </c>
      <c r="DC86" s="341" t="s">
        <v>835</v>
      </c>
      <c r="DD86" s="341">
        <v>6526200</v>
      </c>
      <c r="DG86" s="341" t="s">
        <v>835</v>
      </c>
      <c r="DH86" s="341">
        <v>7232200</v>
      </c>
      <c r="DK86" s="341" t="s">
        <v>835</v>
      </c>
      <c r="DL86" s="341">
        <v>9457500</v>
      </c>
      <c r="DM86" s="288">
        <v>-353.59939300000002</v>
      </c>
      <c r="DO86" s="341" t="s">
        <v>835</v>
      </c>
      <c r="DP86" s="341">
        <v>6919200</v>
      </c>
      <c r="DS86"/>
      <c r="DT86"/>
      <c r="DU86"/>
      <c r="DV86"/>
      <c r="DW86"/>
      <c r="DX86"/>
      <c r="DY86"/>
      <c r="DZ86"/>
      <c r="EA86"/>
      <c r="EB86"/>
      <c r="EC86"/>
      <c r="ED86"/>
      <c r="EE86"/>
    </row>
    <row r="87" spans="2:135">
      <c r="B87" s="803" t="s">
        <v>152</v>
      </c>
      <c r="C87" s="803">
        <v>1865400</v>
      </c>
      <c r="F87" s="341" t="s">
        <v>142</v>
      </c>
      <c r="G87" s="341">
        <v>4381735.6476629479</v>
      </c>
      <c r="H87" s="288">
        <v>1452.739</v>
      </c>
      <c r="I87" s="288" t="s">
        <v>1084</v>
      </c>
      <c r="K87" s="341" t="s">
        <v>142</v>
      </c>
      <c r="L87" s="341">
        <v>3536318.392628734</v>
      </c>
      <c r="M87" s="288">
        <v>1122.9256399999999</v>
      </c>
      <c r="N87" s="288" t="s">
        <v>1084</v>
      </c>
      <c r="P87" s="341" t="s">
        <v>142</v>
      </c>
      <c r="Q87" s="341">
        <v>3964182.1467626006</v>
      </c>
      <c r="R87" s="288">
        <v>896.35084900000004</v>
      </c>
      <c r="S87" s="288" t="s">
        <v>1084</v>
      </c>
      <c r="U87" s="341" t="s">
        <v>142</v>
      </c>
      <c r="V87" s="341">
        <v>3396885.7153884009</v>
      </c>
      <c r="W87" s="288">
        <v>700.81667600000003</v>
      </c>
      <c r="X87" s="288" t="s">
        <v>1084</v>
      </c>
      <c r="Y87" s="341" t="s">
        <v>142</v>
      </c>
      <c r="Z87" s="341">
        <v>4381735.6476629479</v>
      </c>
      <c r="AA87" s="288">
        <v>1452.739</v>
      </c>
      <c r="AB87"/>
      <c r="AC87" s="341" t="s">
        <v>142</v>
      </c>
      <c r="AD87" s="341">
        <v>3536318.392628734</v>
      </c>
      <c r="AE87" s="288">
        <v>1122.9256399999999</v>
      </c>
      <c r="AG87" s="341" t="s">
        <v>142</v>
      </c>
      <c r="AH87" s="341">
        <v>3964182.1467626006</v>
      </c>
      <c r="AI87" s="288">
        <v>896.35084900000004</v>
      </c>
      <c r="AK87" s="341" t="s">
        <v>142</v>
      </c>
      <c r="AL87" s="341">
        <v>3396885.7153884009</v>
      </c>
      <c r="AM87" s="288">
        <v>700.81667600000003</v>
      </c>
      <c r="AO87" s="341" t="s">
        <v>142</v>
      </c>
      <c r="AP87" s="341">
        <v>4381735.6476629479</v>
      </c>
      <c r="AQ87" s="288">
        <v>1452.739</v>
      </c>
      <c r="AS87" s="341" t="s">
        <v>142</v>
      </c>
      <c r="AT87" s="341">
        <v>3536318.392628734</v>
      </c>
      <c r="AU87" s="288">
        <v>1122.9256399999999</v>
      </c>
      <c r="AY87" s="341" t="s">
        <v>142</v>
      </c>
      <c r="AZ87" s="341">
        <v>3964182.1467626006</v>
      </c>
      <c r="BA87" s="288">
        <v>896.35084900000004</v>
      </c>
      <c r="BD87" s="341" t="s">
        <v>142</v>
      </c>
      <c r="BE87" s="341">
        <v>3396885.7153884009</v>
      </c>
      <c r="BF87" s="288">
        <v>700.81667600000003</v>
      </c>
      <c r="BI87" s="341" t="s">
        <v>142</v>
      </c>
      <c r="BJ87" s="341">
        <v>4381735.6476629479</v>
      </c>
      <c r="BK87" s="288">
        <v>1452.739</v>
      </c>
      <c r="BO87" s="341" t="s">
        <v>142</v>
      </c>
      <c r="BP87" s="341">
        <v>3536318.392628734</v>
      </c>
      <c r="BQ87" s="288">
        <v>1122.9256399999999</v>
      </c>
      <c r="BV87" s="341" t="s">
        <v>142</v>
      </c>
      <c r="BW87" s="341">
        <v>3964182.1467626006</v>
      </c>
      <c r="BX87" s="288">
        <v>896.35084900000004</v>
      </c>
      <c r="CB87" s="341" t="s">
        <v>142</v>
      </c>
      <c r="CC87" s="341">
        <v>3396885.7153884009</v>
      </c>
      <c r="CD87" s="288">
        <v>700.81667600000003</v>
      </c>
      <c r="CH87" s="341" t="s">
        <v>142</v>
      </c>
      <c r="CI87" s="341">
        <f>CI88*(CJ87/CJ88)^0.67</f>
        <v>6902351.94221636</v>
      </c>
      <c r="CJ87" s="288">
        <v>2094.2268899999999</v>
      </c>
      <c r="CM87" s="341" t="s">
        <v>142</v>
      </c>
      <c r="CN87" s="341">
        <f>CN88*(CO87/CO88)^0.67</f>
        <v>5161560.054273814</v>
      </c>
      <c r="CO87" s="288">
        <v>1693.59375</v>
      </c>
      <c r="CQ87" s="341" t="s">
        <v>142</v>
      </c>
      <c r="CR87" s="341">
        <f>CR88*(CS87/CS88)^0.67</f>
        <v>5478541.1680052504</v>
      </c>
      <c r="CS87" s="288">
        <v>1898.36708</v>
      </c>
      <c r="CU87" s="341" t="s">
        <v>142</v>
      </c>
      <c r="CV87" s="341">
        <f>CV88*(CW87/CW88)^0.67</f>
        <v>7115200.9478576481</v>
      </c>
      <c r="CW87" s="288">
        <v>2127.6864099999998</v>
      </c>
      <c r="CY87" s="341" t="s">
        <v>142</v>
      </c>
      <c r="CZ87" s="341">
        <f>CZ88*(DA87/DA88)^0.67</f>
        <v>65767124.672991216</v>
      </c>
      <c r="DA87" s="288">
        <v>4586.6104599999999</v>
      </c>
      <c r="DC87" s="341" t="s">
        <v>142</v>
      </c>
      <c r="DD87" s="341">
        <f>DD89*(DE87/DE89)^0.67</f>
        <v>22073924.145415917</v>
      </c>
      <c r="DE87" s="288">
        <v>4733.6484700000001</v>
      </c>
      <c r="DG87" s="341" t="s">
        <v>142</v>
      </c>
      <c r="DH87" s="341">
        <f>DH89*(DI87/DI89)^0.67</f>
        <v>24324688.511822596</v>
      </c>
      <c r="DI87" s="288">
        <v>5313.1292899999999</v>
      </c>
      <c r="DK87" s="341" t="s">
        <v>142</v>
      </c>
      <c r="DL87" s="341">
        <f>DL89*(DM87/DM89)^0.67</f>
        <v>30574565.482661948</v>
      </c>
      <c r="DM87" s="288">
        <v>6357.6215899999997</v>
      </c>
      <c r="DO87" s="341" t="s">
        <v>142</v>
      </c>
      <c r="DP87" s="341">
        <f>DP89*(DQ87/DQ89)^0.67</f>
        <v>28956783.286485095</v>
      </c>
      <c r="DQ87" s="288">
        <v>5207.9255599999997</v>
      </c>
      <c r="DS87"/>
      <c r="DT87"/>
      <c r="DU87"/>
      <c r="DV87"/>
      <c r="DW87"/>
      <c r="DX87"/>
      <c r="DY87"/>
      <c r="DZ87"/>
      <c r="EA87"/>
      <c r="EB87"/>
      <c r="EC87"/>
      <c r="ED87"/>
      <c r="EE87"/>
    </row>
    <row r="88" spans="2:135">
      <c r="B88" s="803" t="s">
        <v>153</v>
      </c>
      <c r="C88" s="803">
        <v>409400</v>
      </c>
      <c r="D88" s="288">
        <v>60867.666647693899</v>
      </c>
      <c r="F88" s="341" t="s">
        <v>856</v>
      </c>
      <c r="G88" s="341">
        <v>115200</v>
      </c>
      <c r="H88" s="288">
        <v>3.8330255000000002</v>
      </c>
      <c r="I88" s="288" t="s">
        <v>1084</v>
      </c>
      <c r="K88" s="341" t="s">
        <v>856</v>
      </c>
      <c r="L88" s="341">
        <v>104200</v>
      </c>
      <c r="M88" s="288">
        <v>3.35604704</v>
      </c>
      <c r="N88" s="288" t="s">
        <v>1084</v>
      </c>
      <c r="P88" s="341" t="s">
        <v>856</v>
      </c>
      <c r="Q88" s="341">
        <v>329200</v>
      </c>
      <c r="R88" s="288">
        <v>12.227892000000001</v>
      </c>
      <c r="S88" s="288" t="s">
        <v>1084</v>
      </c>
      <c r="U88" s="341" t="s">
        <v>856</v>
      </c>
      <c r="V88" s="341">
        <v>152000</v>
      </c>
      <c r="W88" s="288">
        <v>10.9888364</v>
      </c>
      <c r="X88" s="288" t="s">
        <v>1084</v>
      </c>
      <c r="Y88" s="341" t="s">
        <v>856</v>
      </c>
      <c r="Z88" s="341">
        <v>115200</v>
      </c>
      <c r="AA88" s="288">
        <v>3.8330255000000002</v>
      </c>
      <c r="AB88"/>
      <c r="AC88" s="341" t="s">
        <v>856</v>
      </c>
      <c r="AD88" s="341">
        <v>104200</v>
      </c>
      <c r="AE88" s="288">
        <v>3.35604704</v>
      </c>
      <c r="AG88" s="341" t="s">
        <v>856</v>
      </c>
      <c r="AH88" s="341">
        <v>329200</v>
      </c>
      <c r="AI88" s="288">
        <v>12.227892000000001</v>
      </c>
      <c r="AK88" s="341" t="s">
        <v>856</v>
      </c>
      <c r="AL88" s="341">
        <v>152000</v>
      </c>
      <c r="AM88" s="288">
        <v>10.9888364</v>
      </c>
      <c r="AO88" s="341" t="s">
        <v>856</v>
      </c>
      <c r="AP88" s="341">
        <v>115200</v>
      </c>
      <c r="AQ88" s="288">
        <v>3.8330255000000002</v>
      </c>
      <c r="AS88" s="341" t="s">
        <v>856</v>
      </c>
      <c r="AT88" s="341">
        <v>104200</v>
      </c>
      <c r="AU88" s="288">
        <v>3.35604704</v>
      </c>
      <c r="AY88" s="341" t="s">
        <v>856</v>
      </c>
      <c r="AZ88" s="341">
        <v>329200</v>
      </c>
      <c r="BA88" s="288">
        <v>12.227892000000001</v>
      </c>
      <c r="BD88" s="341" t="s">
        <v>856</v>
      </c>
      <c r="BE88" s="341">
        <v>152000</v>
      </c>
      <c r="BF88" s="288">
        <v>10.9888364</v>
      </c>
      <c r="BI88" s="341" t="s">
        <v>856</v>
      </c>
      <c r="BJ88" s="341">
        <v>115200</v>
      </c>
      <c r="BK88" s="288">
        <v>3.8330255000000002</v>
      </c>
      <c r="BO88" s="341" t="s">
        <v>856</v>
      </c>
      <c r="BP88" s="341">
        <v>104200</v>
      </c>
      <c r="BQ88" s="288">
        <v>3.35604704</v>
      </c>
      <c r="BV88" s="341" t="s">
        <v>856</v>
      </c>
      <c r="BW88" s="341">
        <v>329200</v>
      </c>
      <c r="BX88" s="288">
        <v>12.227892000000001</v>
      </c>
      <c r="CB88" s="341" t="s">
        <v>856</v>
      </c>
      <c r="CC88" s="341">
        <v>152000</v>
      </c>
      <c r="CD88" s="288">
        <v>10.9888364</v>
      </c>
      <c r="CH88" s="341" t="s">
        <v>856</v>
      </c>
      <c r="CI88" s="341">
        <v>21200</v>
      </c>
      <c r="CJ88" s="288">
        <v>0.37220574899999997</v>
      </c>
      <c r="CM88" s="341" t="s">
        <v>856</v>
      </c>
      <c r="CN88" s="341">
        <v>27100</v>
      </c>
      <c r="CO88" s="288">
        <v>0.67004693000000004</v>
      </c>
      <c r="CQ88" s="341" t="s">
        <v>856</v>
      </c>
      <c r="CR88" s="341">
        <v>24100</v>
      </c>
      <c r="CS88" s="288">
        <v>0.576760206</v>
      </c>
      <c r="CU88" s="341" t="s">
        <v>856</v>
      </c>
      <c r="CV88" s="341">
        <v>23300</v>
      </c>
      <c r="CW88" s="288">
        <v>0.41610627300000003</v>
      </c>
      <c r="CY88" s="341" t="s">
        <v>856</v>
      </c>
      <c r="CZ88" s="341">
        <v>11300</v>
      </c>
      <c r="DA88" s="288">
        <v>1.10202827E-2</v>
      </c>
      <c r="DC88" s="341" t="s">
        <v>856</v>
      </c>
      <c r="DD88" s="341">
        <v>10400</v>
      </c>
      <c r="DG88" s="341" t="s">
        <v>856</v>
      </c>
      <c r="DH88" s="341"/>
      <c r="DI88" s="288">
        <v>1822.6855010899999</v>
      </c>
      <c r="DK88" s="341" t="s">
        <v>856</v>
      </c>
      <c r="DL88" s="341"/>
      <c r="DM88" s="288">
        <v>1822.6855010899999</v>
      </c>
      <c r="DO88" s="341" t="s">
        <v>856</v>
      </c>
      <c r="DP88" s="341"/>
      <c r="DQ88" s="288">
        <v>1822.6855010899999</v>
      </c>
      <c r="DS88"/>
      <c r="DT88"/>
      <c r="DU88"/>
      <c r="DV88"/>
      <c r="DW88"/>
      <c r="DX88"/>
      <c r="DY88"/>
      <c r="DZ88"/>
      <c r="EA88"/>
      <c r="EB88"/>
      <c r="EC88"/>
      <c r="ED88"/>
      <c r="EE88"/>
    </row>
    <row r="89" spans="2:135">
      <c r="B89" s="803" t="s">
        <v>155</v>
      </c>
      <c r="C89" s="803">
        <v>475200</v>
      </c>
      <c r="D89" s="288">
        <v>4312.9737713518198</v>
      </c>
      <c r="F89" s="341" t="s">
        <v>857</v>
      </c>
      <c r="G89" s="341">
        <v>911500</v>
      </c>
      <c r="K89" s="341" t="s">
        <v>857</v>
      </c>
      <c r="L89" s="341">
        <v>756900</v>
      </c>
      <c r="P89" s="341" t="s">
        <v>857</v>
      </c>
      <c r="Q89" s="341">
        <v>796500</v>
      </c>
      <c r="U89" s="341" t="s">
        <v>857</v>
      </c>
      <c r="V89" s="341">
        <v>803700</v>
      </c>
      <c r="Y89" s="341" t="s">
        <v>857</v>
      </c>
      <c r="Z89" s="341">
        <v>911500</v>
      </c>
      <c r="AB89"/>
      <c r="AC89" s="341" t="s">
        <v>857</v>
      </c>
      <c r="AD89" s="341">
        <v>756900</v>
      </c>
      <c r="AG89" s="341" t="s">
        <v>857</v>
      </c>
      <c r="AH89" s="341">
        <v>796500</v>
      </c>
      <c r="AK89" s="341" t="s">
        <v>857</v>
      </c>
      <c r="AL89" s="341">
        <v>803700</v>
      </c>
      <c r="AO89" s="341" t="s">
        <v>857</v>
      </c>
      <c r="AP89" s="341">
        <v>911500</v>
      </c>
      <c r="AS89" s="341" t="s">
        <v>857</v>
      </c>
      <c r="AT89" s="341">
        <v>756900</v>
      </c>
      <c r="AY89" s="341" t="s">
        <v>857</v>
      </c>
      <c r="AZ89" s="341">
        <v>796500</v>
      </c>
      <c r="BD89" s="341" t="s">
        <v>857</v>
      </c>
      <c r="BE89" s="341">
        <v>803700</v>
      </c>
      <c r="BI89" s="341" t="s">
        <v>857</v>
      </c>
      <c r="BJ89" s="341">
        <v>911500</v>
      </c>
      <c r="BO89" s="341" t="s">
        <v>857</v>
      </c>
      <c r="BP89" s="341">
        <v>756900</v>
      </c>
      <c r="BV89" s="341" t="s">
        <v>857</v>
      </c>
      <c r="BW89" s="341">
        <v>796500</v>
      </c>
      <c r="CB89" s="341" t="s">
        <v>857</v>
      </c>
      <c r="CC89" s="341">
        <v>803700</v>
      </c>
      <c r="CH89" s="341" t="s">
        <v>857</v>
      </c>
      <c r="CI89" s="341">
        <v>900700</v>
      </c>
      <c r="CM89" s="341" t="s">
        <v>857</v>
      </c>
      <c r="CN89" s="341">
        <v>964600</v>
      </c>
      <c r="CQ89" s="341" t="s">
        <v>857</v>
      </c>
      <c r="CR89" s="341">
        <v>1047600</v>
      </c>
      <c r="CU89" s="341" t="s">
        <v>857</v>
      </c>
      <c r="CV89" s="341">
        <v>1207500</v>
      </c>
      <c r="CY89" s="341" t="s">
        <v>857</v>
      </c>
      <c r="CZ89" s="341">
        <v>1289400</v>
      </c>
      <c r="DC89" s="341" t="s">
        <v>857</v>
      </c>
      <c r="DD89" s="341">
        <v>1149800</v>
      </c>
      <c r="DE89" s="288">
        <v>57.528981799999997</v>
      </c>
      <c r="DG89" s="341" t="s">
        <v>857</v>
      </c>
      <c r="DH89" s="341">
        <v>1301800</v>
      </c>
      <c r="DI89" s="288">
        <v>67.233339299999997</v>
      </c>
      <c r="DK89" s="341" t="s">
        <v>857</v>
      </c>
      <c r="DL89" s="341">
        <v>1392900</v>
      </c>
      <c r="DM89" s="288">
        <v>63.262287399999998</v>
      </c>
      <c r="DO89" s="341" t="s">
        <v>857</v>
      </c>
      <c r="DP89" s="341">
        <v>1908900</v>
      </c>
      <c r="DQ89" s="288">
        <v>89.955402000000007</v>
      </c>
      <c r="DS89"/>
      <c r="DT89"/>
      <c r="DU89"/>
      <c r="DV89"/>
      <c r="DW89"/>
      <c r="DX89"/>
      <c r="DY89"/>
      <c r="DZ89"/>
      <c r="EA89"/>
      <c r="EB89"/>
      <c r="EC89"/>
      <c r="ED89"/>
      <c r="EE89"/>
    </row>
    <row r="90" spans="2:135">
      <c r="B90" s="803" t="s">
        <v>157</v>
      </c>
      <c r="C90" s="803">
        <v>801700</v>
      </c>
      <c r="D90" s="288">
        <v>11415.9923572681</v>
      </c>
      <c r="F90" s="341" t="s">
        <v>855</v>
      </c>
      <c r="G90" s="341">
        <v>1403000</v>
      </c>
      <c r="K90" s="341" t="s">
        <v>855</v>
      </c>
      <c r="L90" s="341">
        <v>605000</v>
      </c>
      <c r="P90" s="341" t="s">
        <v>855</v>
      </c>
      <c r="Q90" s="341">
        <v>984600</v>
      </c>
      <c r="U90" s="341" t="s">
        <v>855</v>
      </c>
      <c r="V90" s="341">
        <v>1535100</v>
      </c>
      <c r="Y90" s="341" t="s">
        <v>855</v>
      </c>
      <c r="Z90" s="341">
        <v>1403000</v>
      </c>
      <c r="AB90"/>
      <c r="AC90" s="341" t="s">
        <v>855</v>
      </c>
      <c r="AD90" s="341">
        <v>605000</v>
      </c>
      <c r="AG90" s="341" t="s">
        <v>855</v>
      </c>
      <c r="AH90" s="341">
        <v>984600</v>
      </c>
      <c r="AK90" s="341" t="s">
        <v>855</v>
      </c>
      <c r="AL90" s="341">
        <v>1535100</v>
      </c>
      <c r="AO90" s="341" t="s">
        <v>855</v>
      </c>
      <c r="AP90" s="341">
        <v>1403000</v>
      </c>
      <c r="AS90" s="341" t="s">
        <v>855</v>
      </c>
      <c r="AT90" s="341">
        <v>605000</v>
      </c>
      <c r="AY90" s="341" t="s">
        <v>855</v>
      </c>
      <c r="AZ90" s="341">
        <v>984600</v>
      </c>
      <c r="BD90" s="341" t="s">
        <v>855</v>
      </c>
      <c r="BE90" s="341">
        <v>1535100</v>
      </c>
      <c r="BI90" s="341" t="s">
        <v>855</v>
      </c>
      <c r="BJ90" s="341">
        <v>1403000</v>
      </c>
      <c r="BO90" s="341" t="s">
        <v>855</v>
      </c>
      <c r="BP90" s="341">
        <v>605000</v>
      </c>
      <c r="BV90" s="341" t="s">
        <v>855</v>
      </c>
      <c r="BW90" s="341">
        <v>984600</v>
      </c>
      <c r="CB90" s="341" t="s">
        <v>855</v>
      </c>
      <c r="CC90" s="341">
        <v>1535100</v>
      </c>
      <c r="CH90" s="341" t="s">
        <v>855</v>
      </c>
      <c r="CI90" s="341">
        <v>559800</v>
      </c>
      <c r="CM90" s="341" t="s">
        <v>855</v>
      </c>
      <c r="CN90" s="341">
        <v>475500</v>
      </c>
      <c r="CQ90" s="341" t="s">
        <v>855</v>
      </c>
      <c r="CR90" s="341">
        <v>573700</v>
      </c>
      <c r="CU90" s="341" t="s">
        <v>855</v>
      </c>
      <c r="CV90" s="341">
        <v>572000</v>
      </c>
      <c r="CY90" s="341" t="s">
        <v>855</v>
      </c>
      <c r="CZ90" s="341">
        <v>608700</v>
      </c>
      <c r="DC90" s="341" t="s">
        <v>855</v>
      </c>
      <c r="DD90" s="341">
        <v>553900</v>
      </c>
      <c r="DG90" s="341" t="s">
        <v>855</v>
      </c>
      <c r="DH90" s="341">
        <v>557900</v>
      </c>
      <c r="DK90" s="341" t="s">
        <v>855</v>
      </c>
      <c r="DL90" s="341">
        <v>590200</v>
      </c>
      <c r="DO90" s="341" t="s">
        <v>855</v>
      </c>
      <c r="DP90" s="341">
        <v>552700</v>
      </c>
      <c r="DS90"/>
      <c r="DT90"/>
      <c r="DU90"/>
      <c r="DV90"/>
      <c r="DW90"/>
      <c r="DX90"/>
      <c r="DY90"/>
      <c r="DZ90"/>
      <c r="EA90"/>
      <c r="EB90"/>
      <c r="EC90"/>
      <c r="ED90"/>
      <c r="EE90"/>
    </row>
    <row r="91" spans="2:135">
      <c r="B91" s="803" t="s">
        <v>904</v>
      </c>
      <c r="C91" s="803"/>
      <c r="F91" s="833"/>
      <c r="G91" s="833"/>
      <c r="K91" s="288" t="s">
        <v>1211</v>
      </c>
      <c r="L91" s="341"/>
      <c r="P91" s="342" t="s">
        <v>904</v>
      </c>
      <c r="Q91" s="341"/>
      <c r="U91" s="342" t="s">
        <v>904</v>
      </c>
      <c r="V91" s="341"/>
      <c r="Y91" s="833"/>
      <c r="Z91" s="833"/>
      <c r="AB91"/>
      <c r="AC91" s="342" t="s">
        <v>146</v>
      </c>
      <c r="AD91" s="341"/>
      <c r="AG91" s="342" t="s">
        <v>904</v>
      </c>
      <c r="AH91" s="341"/>
      <c r="AK91" s="342" t="s">
        <v>904</v>
      </c>
      <c r="AL91" s="341"/>
      <c r="AO91" s="833"/>
      <c r="AP91" s="833"/>
      <c r="AS91" s="342" t="s">
        <v>146</v>
      </c>
      <c r="AT91" s="341"/>
      <c r="AY91" s="342" t="s">
        <v>904</v>
      </c>
      <c r="AZ91" s="341"/>
      <c r="BD91" s="342" t="s">
        <v>904</v>
      </c>
      <c r="BE91" s="341"/>
      <c r="BI91" s="342"/>
      <c r="BJ91" s="833"/>
      <c r="BO91" s="342" t="s">
        <v>146</v>
      </c>
      <c r="BP91" s="341"/>
      <c r="BV91" s="342" t="s">
        <v>904</v>
      </c>
      <c r="BW91" s="341"/>
      <c r="CB91" s="342" t="s">
        <v>904</v>
      </c>
      <c r="CC91" s="341"/>
      <c r="CH91" s="342" t="s">
        <v>904</v>
      </c>
      <c r="CI91" s="341"/>
      <c r="CM91" s="342" t="s">
        <v>904</v>
      </c>
      <c r="CN91" s="341"/>
      <c r="CQ91" s="342" t="s">
        <v>904</v>
      </c>
      <c r="CR91" s="341"/>
      <c r="CU91" s="342" t="s">
        <v>904</v>
      </c>
      <c r="CV91" s="341"/>
      <c r="CY91" s="342" t="s">
        <v>904</v>
      </c>
      <c r="CZ91" s="341"/>
      <c r="DC91" s="342" t="s">
        <v>904</v>
      </c>
      <c r="DD91" s="341"/>
      <c r="DG91" s="342" t="s">
        <v>904</v>
      </c>
      <c r="DH91" s="341"/>
      <c r="DK91" s="342" t="s">
        <v>904</v>
      </c>
      <c r="DL91" s="341"/>
      <c r="DO91" s="342" t="s">
        <v>904</v>
      </c>
      <c r="DP91" s="341"/>
      <c r="DS91"/>
      <c r="DT91"/>
      <c r="DU91"/>
      <c r="DV91"/>
      <c r="DW91"/>
      <c r="DX91"/>
      <c r="DY91"/>
      <c r="DZ91"/>
      <c r="EA91"/>
      <c r="EB91"/>
      <c r="EC91"/>
      <c r="ED91"/>
      <c r="EE91"/>
    </row>
    <row r="92" spans="2:135">
      <c r="B92" s="803" t="s">
        <v>587</v>
      </c>
      <c r="C92" s="791">
        <f>(7.54*10^6)*(D88/(5.7*3600))^0.87</f>
        <v>19417505.385499764</v>
      </c>
      <c r="F92" s="342" t="s">
        <v>904</v>
      </c>
      <c r="G92" s="341">
        <v>41348427.674484909</v>
      </c>
      <c r="K92" s="342" t="s">
        <v>904</v>
      </c>
      <c r="L92" s="834"/>
      <c r="M92" s="288">
        <v>133442.95817103001</v>
      </c>
      <c r="N92" s="288" t="s">
        <v>652</v>
      </c>
      <c r="P92" s="341" t="s">
        <v>587</v>
      </c>
      <c r="Q92" s="834">
        <v>36398963.648805678</v>
      </c>
      <c r="R92" s="288">
        <v>125323.77620264</v>
      </c>
      <c r="S92" s="288" t="s">
        <v>652</v>
      </c>
      <c r="U92" s="341" t="s">
        <v>587</v>
      </c>
      <c r="V92" s="834">
        <v>32975123.292041827</v>
      </c>
      <c r="W92" s="288">
        <v>113604.93087618399</v>
      </c>
      <c r="X92" s="288" t="s">
        <v>652</v>
      </c>
      <c r="Y92" s="342" t="s">
        <v>904</v>
      </c>
      <c r="Z92" s="341">
        <v>41348427.674484909</v>
      </c>
      <c r="AC92" s="341" t="s">
        <v>904</v>
      </c>
      <c r="AD92" s="834"/>
      <c r="AE92" s="288">
        <v>133442.95817103001</v>
      </c>
      <c r="AG92" s="341" t="s">
        <v>587</v>
      </c>
      <c r="AH92" s="834">
        <v>36398963.648805678</v>
      </c>
      <c r="AI92" s="288">
        <v>125323.77620264</v>
      </c>
      <c r="AK92" s="341" t="s">
        <v>587</v>
      </c>
      <c r="AL92" s="834">
        <v>32975123.292041827</v>
      </c>
      <c r="AM92" s="288">
        <v>113604.93087618399</v>
      </c>
      <c r="AO92" s="342" t="s">
        <v>904</v>
      </c>
      <c r="AP92" s="341">
        <v>41348427.674484909</v>
      </c>
      <c r="AS92" s="341" t="s">
        <v>904</v>
      </c>
      <c r="AT92" s="834"/>
      <c r="AU92" s="288">
        <v>133442.95817103001</v>
      </c>
      <c r="AY92" s="341" t="s">
        <v>587</v>
      </c>
      <c r="AZ92" s="834">
        <v>36398963.648805678</v>
      </c>
      <c r="BA92" s="288">
        <v>125323.77620264</v>
      </c>
      <c r="BD92" s="341" t="s">
        <v>587</v>
      </c>
      <c r="BE92" s="834">
        <v>32975123.292041827</v>
      </c>
      <c r="BF92" s="288">
        <v>113604.93087618399</v>
      </c>
      <c r="BI92" s="341" t="s">
        <v>904</v>
      </c>
      <c r="BJ92" s="341">
        <v>41348427.674484909</v>
      </c>
      <c r="BO92" s="341" t="s">
        <v>904</v>
      </c>
      <c r="BP92" s="834"/>
      <c r="BQ92" s="288">
        <v>133442.95817103001</v>
      </c>
      <c r="BV92" s="341" t="s">
        <v>587</v>
      </c>
      <c r="BW92" s="834">
        <v>36398963.648805678</v>
      </c>
      <c r="BX92" s="288">
        <v>125323.77620264</v>
      </c>
      <c r="CB92" s="341" t="s">
        <v>587</v>
      </c>
      <c r="CC92" s="834">
        <v>32975123.292041827</v>
      </c>
      <c r="CD92" s="288">
        <v>113604.93087618399</v>
      </c>
      <c r="CH92" s="341" t="s">
        <v>587</v>
      </c>
      <c r="CI92" s="834">
        <f>(7.54*10^6)*(CJ92/(5.7*3600))^0.87</f>
        <v>41421661.87045382</v>
      </c>
      <c r="CJ92" s="288">
        <v>145407.48103665799</v>
      </c>
      <c r="CM92" s="341" t="s">
        <v>587</v>
      </c>
      <c r="CN92" s="834">
        <f>(7.54*10^6)*(CO92/(5.7*3600))^0.87</f>
        <v>39613694.070655078</v>
      </c>
      <c r="CO92" s="288">
        <v>138136.48090537501</v>
      </c>
      <c r="CQ92" s="341" t="s">
        <v>587</v>
      </c>
      <c r="CR92" s="834">
        <f>(7.54*10^6)*(CS92/(5.7*3600))^0.87</f>
        <v>41193060.784064025</v>
      </c>
      <c r="CS92" s="288">
        <v>144485.46414267601</v>
      </c>
      <c r="CU92" s="341" t="s">
        <v>587</v>
      </c>
      <c r="CV92" s="834">
        <f>(7.54*10^6)*(CW92/(5.7*3600))^0.87</f>
        <v>41496232.90364223</v>
      </c>
      <c r="CW92" s="288">
        <v>145708.41313985799</v>
      </c>
      <c r="CY92" s="341" t="s">
        <v>587</v>
      </c>
      <c r="CZ92" s="834">
        <f>(7.54*10^6)*(DA92/(5.7*3600))^0.87</f>
        <v>40665055.676145285</v>
      </c>
      <c r="DA92" s="288">
        <v>142358.788086999</v>
      </c>
      <c r="DC92" s="341" t="s">
        <v>587</v>
      </c>
      <c r="DD92" s="834">
        <f>(7.54*10^6)*(DE92/(5.7*3600))^0.87</f>
        <v>40132213.467773795</v>
      </c>
      <c r="DE92" s="288">
        <v>140216.80855920201</v>
      </c>
      <c r="DG92" s="341" t="s">
        <v>587</v>
      </c>
      <c r="DH92" s="834">
        <f>(7.54*10^6)*(DI92/(5.7*3600))^0.87</f>
        <v>40189888.606978208</v>
      </c>
      <c r="DI92" s="288">
        <v>140448.453581651</v>
      </c>
      <c r="DK92" s="341" t="s">
        <v>587</v>
      </c>
      <c r="DL92" s="834">
        <f>(7.54*10^6)*(DM92/(5.7*3600))^0.87</f>
        <v>40418486.946107283</v>
      </c>
      <c r="DM92" s="288">
        <v>141367.078454342</v>
      </c>
      <c r="DO92" s="341" t="s">
        <v>587</v>
      </c>
      <c r="DP92" s="834">
        <f>(7.54*10^6)*(DQ92/(5.7*3600))^0.87</f>
        <v>37668467.920341857</v>
      </c>
      <c r="DQ92" s="288">
        <v>130368.737781943</v>
      </c>
      <c r="DS92"/>
      <c r="DT92"/>
      <c r="DU92"/>
      <c r="DV92"/>
      <c r="DW92"/>
      <c r="DX92"/>
      <c r="DY92"/>
      <c r="DZ92"/>
      <c r="EA92"/>
      <c r="EB92"/>
      <c r="EC92"/>
      <c r="ED92"/>
      <c r="EE92"/>
    </row>
    <row r="93" spans="2:135">
      <c r="B93" s="803" t="s">
        <v>905</v>
      </c>
      <c r="C93" s="791">
        <f>(5.01*10^6)*(D89/(14.17*3600))^0.84</f>
        <v>628934.58527041471</v>
      </c>
      <c r="F93" s="341" t="s">
        <v>587</v>
      </c>
      <c r="G93" s="341">
        <v>279127.92717298242</v>
      </c>
      <c r="H93" s="288">
        <v>145100.56713225399</v>
      </c>
      <c r="I93" s="288" t="s">
        <v>652</v>
      </c>
      <c r="K93" s="341" t="s">
        <v>587</v>
      </c>
      <c r="L93" s="834">
        <v>38451261.756301723</v>
      </c>
      <c r="M93" s="288">
        <v>2743.1846209826599</v>
      </c>
      <c r="N93" s="288" t="s">
        <v>652</v>
      </c>
      <c r="P93" s="341" t="s">
        <v>905</v>
      </c>
      <c r="Q93" s="834">
        <v>624853.43279796932</v>
      </c>
      <c r="R93" s="288">
        <v>4278.3967193696999</v>
      </c>
      <c r="S93" s="288" t="s">
        <v>652</v>
      </c>
      <c r="U93" s="341" t="s">
        <v>905</v>
      </c>
      <c r="V93" s="834">
        <v>839350.27297702082</v>
      </c>
      <c r="W93" s="288">
        <v>6081.5510732254297</v>
      </c>
      <c r="X93" s="288" t="s">
        <v>652</v>
      </c>
      <c r="Y93" s="341" t="s">
        <v>587</v>
      </c>
      <c r="Z93" s="834">
        <v>279127.92717298242</v>
      </c>
      <c r="AA93" s="288">
        <v>145100.56713225399</v>
      </c>
      <c r="AC93" s="341" t="s">
        <v>587</v>
      </c>
      <c r="AD93" s="834">
        <v>38451261.756301723</v>
      </c>
      <c r="AE93" s="288">
        <v>2743.1846209826599</v>
      </c>
      <c r="AG93" s="341" t="s">
        <v>905</v>
      </c>
      <c r="AH93" s="834">
        <v>624853.43279796932</v>
      </c>
      <c r="AI93" s="288">
        <v>4278.3967193696999</v>
      </c>
      <c r="AK93" s="341" t="s">
        <v>905</v>
      </c>
      <c r="AL93" s="834">
        <v>839350.27297702082</v>
      </c>
      <c r="AM93" s="288">
        <v>6081.5510732254297</v>
      </c>
      <c r="AO93" s="341" t="s">
        <v>587</v>
      </c>
      <c r="AP93" s="834">
        <v>279127.92717298242</v>
      </c>
      <c r="AQ93" s="288">
        <v>145100.56713225399</v>
      </c>
      <c r="AS93" s="341" t="s">
        <v>587</v>
      </c>
      <c r="AT93" s="834">
        <v>38451261.756301723</v>
      </c>
      <c r="AU93" s="288">
        <v>2743.1846209826599</v>
      </c>
      <c r="AY93" s="341" t="s">
        <v>905</v>
      </c>
      <c r="AZ93" s="834">
        <v>624853.43279796932</v>
      </c>
      <c r="BA93" s="288">
        <v>4278.3967193696999</v>
      </c>
      <c r="BD93" s="341" t="s">
        <v>905</v>
      </c>
      <c r="BE93" s="834">
        <v>839350.27297702082</v>
      </c>
      <c r="BF93" s="288">
        <v>6081.5510732254297</v>
      </c>
      <c r="BI93" s="341" t="s">
        <v>587</v>
      </c>
      <c r="BJ93" s="834">
        <v>279127.92717298242</v>
      </c>
      <c r="BK93" s="288">
        <v>145100.56713225399</v>
      </c>
      <c r="BO93" s="341" t="s">
        <v>587</v>
      </c>
      <c r="BP93" s="834">
        <v>38451261.756301723</v>
      </c>
      <c r="BQ93" s="288">
        <v>2743.1846209826599</v>
      </c>
      <c r="BV93" s="341" t="s">
        <v>905</v>
      </c>
      <c r="BW93" s="834">
        <v>624853.43279796932</v>
      </c>
      <c r="BX93" s="288">
        <v>4278.3967193696999</v>
      </c>
      <c r="CB93" s="341" t="s">
        <v>905</v>
      </c>
      <c r="CC93" s="834">
        <v>839350.27297702082</v>
      </c>
      <c r="CD93" s="288">
        <v>6081.5510732254297</v>
      </c>
      <c r="CH93" s="341" t="s">
        <v>905</v>
      </c>
      <c r="CI93" s="834">
        <f>(5.01*10^6)*(CJ93/(14.17*3600))^0.84</f>
        <v>0</v>
      </c>
      <c r="CJ93" s="288">
        <v>0</v>
      </c>
      <c r="CM93" s="341" t="s">
        <v>905</v>
      </c>
      <c r="CN93" s="834">
        <f>(5.01*10^6)*(CO93/(14.17*3600))^0.84</f>
        <v>0</v>
      </c>
      <c r="CO93" s="288">
        <v>0</v>
      </c>
      <c r="CQ93" s="341" t="s">
        <v>905</v>
      </c>
      <c r="CR93" s="834">
        <f>(5.01*10^6)*(CS93/(14.17*3600))^0.84</f>
        <v>0</v>
      </c>
      <c r="CS93" s="288">
        <v>0</v>
      </c>
      <c r="CU93" s="341" t="s">
        <v>905</v>
      </c>
      <c r="CV93" s="834">
        <f>(5.01*10^6)*(CW93/(14.17*3600))^0.84</f>
        <v>0</v>
      </c>
      <c r="CW93" s="288">
        <v>0</v>
      </c>
      <c r="CY93" s="341" t="s">
        <v>905</v>
      </c>
      <c r="CZ93" s="834">
        <f>(5.01*10^6)*(DA93/(14.17*3600))^0.84</f>
        <v>0</v>
      </c>
      <c r="DA93" s="288">
        <v>0</v>
      </c>
      <c r="DC93" s="341" t="s">
        <v>905</v>
      </c>
      <c r="DD93" s="834">
        <f>(5.01*10^6)*(DE93/(14.17*3600))^0.84</f>
        <v>0</v>
      </c>
      <c r="DE93" s="288">
        <v>0</v>
      </c>
      <c r="DG93" s="341" t="s">
        <v>905</v>
      </c>
      <c r="DH93" s="834">
        <f>(5.01*10^6)*(DI93/(14.17*3600))^0.84</f>
        <v>0</v>
      </c>
      <c r="DI93" s="288">
        <v>0</v>
      </c>
      <c r="DK93" s="341" t="s">
        <v>905</v>
      </c>
      <c r="DL93" s="834">
        <f>(5.01*10^6)*(DM93/(14.17*3600))^0.84</f>
        <v>0</v>
      </c>
      <c r="DM93" s="288">
        <v>0</v>
      </c>
      <c r="DO93" s="341" t="s">
        <v>905</v>
      </c>
      <c r="DP93" s="834">
        <f>(5.01*10^6)*(DQ93/(14.17*3600))^0.84</f>
        <v>0</v>
      </c>
      <c r="DQ93" s="288">
        <v>0</v>
      </c>
      <c r="DS93"/>
      <c r="DT93"/>
      <c r="DU93"/>
      <c r="DV93"/>
      <c r="DW93"/>
      <c r="DX93"/>
      <c r="DY93"/>
      <c r="DZ93"/>
      <c r="EA93"/>
      <c r="EB93"/>
      <c r="EC93"/>
      <c r="ED93"/>
      <c r="EE93"/>
    </row>
    <row r="94" spans="2:135">
      <c r="B94" s="803" t="s">
        <v>906</v>
      </c>
      <c r="C94" s="804">
        <f>(0.93*10^6)*(D90/(5.7*3600))^0.86</f>
        <v>561658.29551972495</v>
      </c>
      <c r="F94" s="341" t="s">
        <v>905</v>
      </c>
      <c r="G94" s="834">
        <v>652099.18850796949</v>
      </c>
      <c r="H94" s="288">
        <v>1639.5145450867601</v>
      </c>
      <c r="I94" s="288" t="s">
        <v>652</v>
      </c>
      <c r="K94" s="341" t="s">
        <v>905</v>
      </c>
      <c r="L94" s="835">
        <v>430232.17018126271</v>
      </c>
      <c r="M94" s="288">
        <v>18915.1988563829</v>
      </c>
      <c r="N94" s="288" t="s">
        <v>652</v>
      </c>
      <c r="P94" s="341" t="s">
        <v>906</v>
      </c>
      <c r="Q94" s="835">
        <v>1069243.4828326672</v>
      </c>
      <c r="R94" s="288">
        <v>24132.565650638</v>
      </c>
      <c r="S94" s="288" t="s">
        <v>652</v>
      </c>
      <c r="U94" s="341" t="s">
        <v>906</v>
      </c>
      <c r="V94" s="835">
        <v>1298165.3739833515</v>
      </c>
      <c r="W94" s="288">
        <v>30380.708346108899</v>
      </c>
      <c r="X94" s="288" t="s">
        <v>652</v>
      </c>
      <c r="Y94" s="341" t="s">
        <v>905</v>
      </c>
      <c r="Z94" s="834">
        <v>652099.18850796949</v>
      </c>
      <c r="AA94" s="288">
        <v>1639.5145450867601</v>
      </c>
      <c r="AC94" s="341" t="s">
        <v>905</v>
      </c>
      <c r="AD94" s="835">
        <v>430232.17018126271</v>
      </c>
      <c r="AE94" s="288">
        <v>18915.1988563829</v>
      </c>
      <c r="AG94" s="341" t="s">
        <v>906</v>
      </c>
      <c r="AH94" s="835">
        <v>1069243.4828326672</v>
      </c>
      <c r="AI94" s="288">
        <v>24132.565650638</v>
      </c>
      <c r="AK94" s="341" t="s">
        <v>906</v>
      </c>
      <c r="AL94" s="835">
        <v>1298165.3739833515</v>
      </c>
      <c r="AM94" s="288">
        <v>30380.708346108899</v>
      </c>
      <c r="AO94" s="341" t="s">
        <v>905</v>
      </c>
      <c r="AP94" s="834">
        <v>652099.18850796949</v>
      </c>
      <c r="AQ94" s="288">
        <v>1639.5145450867601</v>
      </c>
      <c r="AS94" s="341" t="s">
        <v>905</v>
      </c>
      <c r="AT94" s="835">
        <v>430232.17018126271</v>
      </c>
      <c r="AU94" s="288">
        <v>18915.1988563829</v>
      </c>
      <c r="AY94" s="341" t="s">
        <v>906</v>
      </c>
      <c r="AZ94" s="835">
        <v>1069243.4828326672</v>
      </c>
      <c r="BA94" s="288">
        <v>24132.565650638</v>
      </c>
      <c r="BD94" s="341" t="s">
        <v>906</v>
      </c>
      <c r="BE94" s="835">
        <v>1298165.3739833515</v>
      </c>
      <c r="BF94" s="288">
        <v>30380.708346108899</v>
      </c>
      <c r="BI94" s="341" t="s">
        <v>905</v>
      </c>
      <c r="BJ94" s="834">
        <v>652099.18850796949</v>
      </c>
      <c r="BK94" s="288">
        <v>1639.5145450867601</v>
      </c>
      <c r="BO94" s="341" t="s">
        <v>905</v>
      </c>
      <c r="BP94" s="835">
        <v>430232.17018126271</v>
      </c>
      <c r="BQ94" s="288">
        <v>18915.1988563829</v>
      </c>
      <c r="BV94" s="341" t="s">
        <v>906</v>
      </c>
      <c r="BW94" s="835">
        <v>1069243.4828326672</v>
      </c>
      <c r="BX94" s="288">
        <v>24132.565650638</v>
      </c>
      <c r="CB94" s="341" t="s">
        <v>906</v>
      </c>
      <c r="CC94" s="835">
        <v>1298165.3739833515</v>
      </c>
      <c r="CD94" s="288">
        <v>30380.708346108899</v>
      </c>
      <c r="CH94" s="341" t="s">
        <v>906</v>
      </c>
      <c r="CI94" s="835">
        <f>(0.93*10^6)*(CJ94/(5.7*3600))^0.86</f>
        <v>104619.37369991578</v>
      </c>
      <c r="CJ94" s="288">
        <v>1617.48096637196</v>
      </c>
      <c r="CM94" s="341" t="s">
        <v>906</v>
      </c>
      <c r="CN94" s="835">
        <f>(0.93*10^6)*(CO94/(5.7*3600))^0.86</f>
        <v>182190.33345873887</v>
      </c>
      <c r="CO94" s="288">
        <v>3082.98082850124</v>
      </c>
      <c r="CQ94" s="341" t="s">
        <v>906</v>
      </c>
      <c r="CR94" s="835">
        <f>(0.93*10^6)*(CS94/(5.7*3600))^0.86</f>
        <v>160546.34308903062</v>
      </c>
      <c r="CS94" s="288">
        <v>2661.3662563948301</v>
      </c>
      <c r="CU94" s="341" t="s">
        <v>906</v>
      </c>
      <c r="CV94" s="835">
        <f>(0.93*10^6)*(CW94/(5.7*3600))^0.86</f>
        <v>128177.28485731682</v>
      </c>
      <c r="CW94" s="288">
        <v>2048.3119549400799</v>
      </c>
      <c r="CY94" s="341" t="s">
        <v>906</v>
      </c>
      <c r="CZ94" s="835">
        <f>(0.93*10^6)*(DA94/(5.7*3600))^0.86</f>
        <v>2604.1105888656252</v>
      </c>
      <c r="DA94" s="288">
        <v>22.068758830765301</v>
      </c>
      <c r="DC94" s="341" t="s">
        <v>906</v>
      </c>
      <c r="DD94" s="835">
        <f>(0.93*10^6)*(DE94/(5.7*3600))^0.86</f>
        <v>2847.8490491628113</v>
      </c>
      <c r="DE94" s="288">
        <v>24.488438725494401</v>
      </c>
      <c r="DG94" s="341" t="s">
        <v>906</v>
      </c>
      <c r="DH94" s="835">
        <f>(0.93*10^6)*(DI94/(5.7*3600))^0.86</f>
        <v>0</v>
      </c>
      <c r="DI94" s="288">
        <v>0</v>
      </c>
      <c r="DK94" s="341" t="s">
        <v>906</v>
      </c>
      <c r="DL94" s="835">
        <f>(0.93*10^6)*(DM94/(5.7*3600))^0.86</f>
        <v>0</v>
      </c>
      <c r="DM94" s="288">
        <v>0</v>
      </c>
      <c r="DO94" s="341" t="s">
        <v>906</v>
      </c>
      <c r="DP94" s="835">
        <f>(0.93*10^6)*(DQ94/(5.7*3600))^0.86</f>
        <v>0</v>
      </c>
      <c r="DQ94" s="288">
        <v>0</v>
      </c>
      <c r="DS94"/>
      <c r="DT94"/>
      <c r="DU94"/>
      <c r="DV94"/>
      <c r="DW94"/>
      <c r="DX94"/>
      <c r="DY94"/>
      <c r="DZ94"/>
      <c r="EA94"/>
      <c r="EB94"/>
      <c r="EC94"/>
      <c r="ED94"/>
      <c r="EE94"/>
    </row>
    <row r="95" spans="2:135">
      <c r="B95" s="803" t="s">
        <v>1026</v>
      </c>
      <c r="C95" s="803"/>
      <c r="F95" s="341" t="s">
        <v>906</v>
      </c>
      <c r="G95" s="834"/>
      <c r="H95" s="288">
        <v>13579.034575081299</v>
      </c>
      <c r="I95" s="288" t="s">
        <v>652</v>
      </c>
      <c r="K95" s="341" t="s">
        <v>906</v>
      </c>
      <c r="L95" s="341">
        <v>867429.02047606395</v>
      </c>
      <c r="P95" s="342" t="s">
        <v>1026</v>
      </c>
      <c r="Q95" s="341"/>
      <c r="U95" s="342" t="s">
        <v>1026</v>
      </c>
      <c r="V95" s="341"/>
      <c r="Y95" s="341" t="s">
        <v>906</v>
      </c>
      <c r="Z95" s="835"/>
      <c r="AA95" s="288">
        <v>13579.034575081299</v>
      </c>
      <c r="AB95"/>
      <c r="AC95" s="342" t="s">
        <v>906</v>
      </c>
      <c r="AD95" s="341">
        <v>867429.02047606395</v>
      </c>
      <c r="AG95" s="342" t="s">
        <v>1026</v>
      </c>
      <c r="AH95" s="341"/>
      <c r="AK95" s="342" t="s">
        <v>1026</v>
      </c>
      <c r="AL95" s="341"/>
      <c r="AO95" s="341" t="s">
        <v>906</v>
      </c>
      <c r="AP95" s="835"/>
      <c r="AQ95" s="288">
        <v>13579.034575081299</v>
      </c>
      <c r="AS95" s="342" t="s">
        <v>906</v>
      </c>
      <c r="AT95" s="341">
        <v>867429.02047606395</v>
      </c>
      <c r="AY95" s="342" t="s">
        <v>1026</v>
      </c>
      <c r="AZ95" s="341"/>
      <c r="BD95" s="342" t="s">
        <v>1026</v>
      </c>
      <c r="BE95" s="341"/>
      <c r="BI95" s="342" t="s">
        <v>906</v>
      </c>
      <c r="BJ95" s="835"/>
      <c r="BK95" s="288">
        <v>13579.034575081299</v>
      </c>
      <c r="BO95" s="342" t="s">
        <v>906</v>
      </c>
      <c r="BP95" s="341">
        <v>867429.02047606395</v>
      </c>
      <c r="BV95" s="342" t="s">
        <v>1026</v>
      </c>
      <c r="BW95" s="341"/>
      <c r="CB95" s="342" t="s">
        <v>1026</v>
      </c>
      <c r="CC95" s="341"/>
      <c r="CH95" s="342" t="s">
        <v>1026</v>
      </c>
      <c r="CI95" s="341"/>
      <c r="CM95" s="342" t="s">
        <v>1026</v>
      </c>
      <c r="CN95" s="341"/>
      <c r="CQ95" s="342" t="s">
        <v>1026</v>
      </c>
      <c r="CR95" s="341"/>
      <c r="CU95" s="342" t="s">
        <v>1026</v>
      </c>
      <c r="CV95" s="341"/>
      <c r="CY95" s="342" t="s">
        <v>1026</v>
      </c>
      <c r="CZ95" s="341"/>
      <c r="DC95" s="342" t="s">
        <v>1026</v>
      </c>
      <c r="DD95" s="341"/>
      <c r="DG95" s="342" t="s">
        <v>1026</v>
      </c>
      <c r="DH95" s="341"/>
      <c r="DK95" s="342" t="s">
        <v>1026</v>
      </c>
      <c r="DL95" s="341"/>
      <c r="DO95" s="342" t="s">
        <v>1026</v>
      </c>
      <c r="DP95" s="341"/>
      <c r="DS95"/>
      <c r="DT95"/>
      <c r="DU95"/>
      <c r="DV95"/>
      <c r="DW95"/>
      <c r="DX95"/>
      <c r="DY95"/>
      <c r="DZ95"/>
      <c r="EA95"/>
      <c r="EB95"/>
      <c r="EC95"/>
      <c r="ED95"/>
      <c r="EE95"/>
    </row>
    <row r="96" spans="2:135">
      <c r="B96" s="803" t="s">
        <v>1027</v>
      </c>
      <c r="C96" s="803">
        <f>603.1/392.6*1510000*(D96/500)^0.6+D97/0.01*6.11*4</f>
        <v>60444580.453421965</v>
      </c>
      <c r="D96" s="288">
        <v>17375.951928123599</v>
      </c>
      <c r="E96" s="288" t="s">
        <v>1028</v>
      </c>
      <c r="F96" s="342" t="s">
        <v>1026</v>
      </c>
      <c r="G96" s="341"/>
      <c r="K96" s="342" t="s">
        <v>1026</v>
      </c>
      <c r="L96" s="341"/>
      <c r="M96" s="288">
        <v>16760.110790101899</v>
      </c>
      <c r="N96" s="288" t="s">
        <v>1028</v>
      </c>
      <c r="P96" s="341" t="s">
        <v>1027</v>
      </c>
      <c r="Q96" s="341">
        <v>54590486.923184544</v>
      </c>
      <c r="R96" s="288">
        <v>16760.110790101899</v>
      </c>
      <c r="S96" s="288" t="s">
        <v>1028</v>
      </c>
      <c r="U96" s="341" t="s">
        <v>1027</v>
      </c>
      <c r="V96" s="341">
        <v>56885625.927022129</v>
      </c>
      <c r="W96" s="288">
        <v>17273.891547625601</v>
      </c>
      <c r="X96" s="288" t="s">
        <v>1028</v>
      </c>
      <c r="Y96" s="342" t="s">
        <v>1026</v>
      </c>
      <c r="Z96" s="341"/>
      <c r="AB96"/>
      <c r="AC96" s="341" t="s">
        <v>1026</v>
      </c>
      <c r="AD96" s="341"/>
      <c r="AE96" s="288">
        <v>16760.110790101899</v>
      </c>
      <c r="AG96" s="341" t="s">
        <v>1027</v>
      </c>
      <c r="AH96" s="341">
        <v>54590486.923184544</v>
      </c>
      <c r="AI96" s="288">
        <v>16760.110790101899</v>
      </c>
      <c r="AK96" s="341" t="s">
        <v>1027</v>
      </c>
      <c r="AL96" s="341">
        <v>56885625.927022129</v>
      </c>
      <c r="AM96" s="288">
        <v>17273.891547625601</v>
      </c>
      <c r="AO96" s="342" t="s">
        <v>1026</v>
      </c>
      <c r="AP96" s="341"/>
      <c r="AS96" s="341" t="s">
        <v>1026</v>
      </c>
      <c r="AT96" s="341"/>
      <c r="AU96" s="288">
        <v>16760.110790101899</v>
      </c>
      <c r="AY96" s="341" t="s">
        <v>1027</v>
      </c>
      <c r="AZ96" s="341">
        <v>54590486.923184544</v>
      </c>
      <c r="BA96" s="288">
        <v>16760.110790101899</v>
      </c>
      <c r="BD96" s="341" t="s">
        <v>1027</v>
      </c>
      <c r="BE96" s="341">
        <v>56885625.927022129</v>
      </c>
      <c r="BF96" s="288">
        <v>17273.891547625601</v>
      </c>
      <c r="BI96" s="341" t="s">
        <v>1026</v>
      </c>
      <c r="BJ96" s="341"/>
      <c r="BO96" s="341" t="s">
        <v>1026</v>
      </c>
      <c r="BP96" s="341"/>
      <c r="BQ96" s="288">
        <v>16760.110790101899</v>
      </c>
      <c r="BV96" s="341" t="s">
        <v>1027</v>
      </c>
      <c r="BW96" s="341">
        <v>54590486.923184544</v>
      </c>
      <c r="BX96" s="288">
        <v>16760.110790101899</v>
      </c>
      <c r="CB96" s="341" t="s">
        <v>1027</v>
      </c>
      <c r="CC96" s="341">
        <v>56885625.927022129</v>
      </c>
      <c r="CD96" s="288">
        <v>17273.891547625601</v>
      </c>
      <c r="CH96" s="341" t="s">
        <v>1027</v>
      </c>
      <c r="CI96" s="341">
        <f>603.1/392.6*1510000*(CJ96/500)^0.6+CJ97/0.01*6.11*4</f>
        <v>58461762.765059695</v>
      </c>
      <c r="CJ96" s="288">
        <v>16724.808337897499</v>
      </c>
      <c r="CM96" s="341" t="s">
        <v>1027</v>
      </c>
      <c r="CN96" s="341">
        <f>603.1/392.6*1510000*(CO96/500)^0.6+CO97/0.01*6.11*4</f>
        <v>60041263.138967536</v>
      </c>
      <c r="CO96" s="288">
        <v>17248.576099992199</v>
      </c>
      <c r="CQ96" s="341" t="s">
        <v>1027</v>
      </c>
      <c r="CR96" s="341">
        <f>603.1/392.6*1510000*(CS96/500)^0.6+CS97/0.01*6.11*4</f>
        <v>58181302.470018446</v>
      </c>
      <c r="CS96" s="288">
        <v>16636.6001822451</v>
      </c>
      <c r="CU96" s="341" t="s">
        <v>1027</v>
      </c>
      <c r="CV96" s="341">
        <f>603.1/392.6*1510000*(CW96/500)^0.6+CW97/0.01*6.11*4</f>
        <v>57544076.334655099</v>
      </c>
      <c r="CW96" s="288">
        <v>16427.746025387401</v>
      </c>
      <c r="CY96" s="341" t="s">
        <v>1027</v>
      </c>
      <c r="CZ96" s="341">
        <f>603.1/392.6*1510000*(DA96/500)^0.6+DA97/0.01*6.11*4</f>
        <v>56992782.446836188</v>
      </c>
      <c r="DA96" s="288">
        <v>16245.7590776287</v>
      </c>
      <c r="DC96" s="341" t="s">
        <v>1027</v>
      </c>
      <c r="DD96" s="341">
        <f>603.1/392.6*1510000*(DE96/500)^0.6+DE97/0.01*6.11*4</f>
        <v>56662738.281571209</v>
      </c>
      <c r="DE96" s="288">
        <v>16138.0022927031</v>
      </c>
      <c r="DG96" s="341" t="s">
        <v>1027</v>
      </c>
      <c r="DH96" s="341">
        <f>603.1/392.6*1510000*(DI96/500)^0.6+DI97/0.01*6.11*4</f>
        <v>55561930.485117346</v>
      </c>
      <c r="DI96" s="288">
        <v>15778.3414327138</v>
      </c>
      <c r="DK96" s="341" t="s">
        <v>1027</v>
      </c>
      <c r="DL96" s="341">
        <f>603.1/392.6*1510000*(DM96/500)^0.6+DM97/0.01*6.11*4</f>
        <v>53599544.283109203</v>
      </c>
      <c r="DM96" s="288">
        <v>15136.767541532599</v>
      </c>
      <c r="DO96" s="341" t="s">
        <v>1027</v>
      </c>
      <c r="DP96" s="341">
        <f>603.1/392.6*1510000*(DQ96/500)^0.6+DQ97/0.01*6.11*4</f>
        <v>57146798.066442981</v>
      </c>
      <c r="DQ96" s="288">
        <v>16299.390519459301</v>
      </c>
      <c r="DS96"/>
      <c r="DT96"/>
      <c r="DU96"/>
      <c r="DV96"/>
      <c r="DW96"/>
      <c r="DX96"/>
      <c r="DY96"/>
      <c r="DZ96"/>
      <c r="EA96"/>
      <c r="EB96"/>
      <c r="EC96"/>
      <c r="ED96"/>
      <c r="EE96"/>
    </row>
    <row r="97" spans="2:135">
      <c r="B97" s="803"/>
      <c r="C97" s="803"/>
      <c r="D97" s="288">
        <v>16753.679787713099</v>
      </c>
      <c r="E97" s="288" t="s">
        <v>1029</v>
      </c>
      <c r="F97" s="341" t="s">
        <v>1027</v>
      </c>
      <c r="G97" s="341">
        <v>51057361.280568272</v>
      </c>
      <c r="H97" s="288">
        <v>15286.3585882888</v>
      </c>
      <c r="I97" s="288" t="s">
        <v>1028</v>
      </c>
      <c r="K97" s="341" t="s">
        <v>1027</v>
      </c>
      <c r="L97" s="341">
        <v>53387878.57545273</v>
      </c>
      <c r="M97" s="288">
        <v>14996.606159621801</v>
      </c>
      <c r="N97" s="288" t="s">
        <v>1029</v>
      </c>
      <c r="P97" s="341"/>
      <c r="Q97" s="341"/>
      <c r="R97" s="288">
        <v>14996.606159621801</v>
      </c>
      <c r="S97" s="288" t="s">
        <v>1029</v>
      </c>
      <c r="U97" s="341"/>
      <c r="V97" s="341"/>
      <c r="W97" s="288">
        <v>15451.253184409799</v>
      </c>
      <c r="X97" s="288" t="s">
        <v>1029</v>
      </c>
      <c r="Y97" s="341" t="s">
        <v>1027</v>
      </c>
      <c r="Z97" s="341">
        <v>51057361.280568272</v>
      </c>
      <c r="AA97" s="288">
        <v>15286.3585882888</v>
      </c>
      <c r="AB97"/>
      <c r="AC97" s="341" t="s">
        <v>1027</v>
      </c>
      <c r="AD97" s="341">
        <v>53387878.57545273</v>
      </c>
      <c r="AE97" s="288">
        <v>14996.606159621801</v>
      </c>
      <c r="AG97" s="341"/>
      <c r="AH97" s="341"/>
      <c r="AI97" s="288">
        <v>14996.606159621801</v>
      </c>
      <c r="AK97" s="341"/>
      <c r="AL97" s="341"/>
      <c r="AM97" s="288">
        <v>15451.253184409799</v>
      </c>
      <c r="AO97" s="341" t="s">
        <v>1027</v>
      </c>
      <c r="AP97" s="341">
        <v>51057361.280568272</v>
      </c>
      <c r="AQ97" s="288">
        <v>15286.3585882888</v>
      </c>
      <c r="AS97" s="341" t="s">
        <v>1027</v>
      </c>
      <c r="AT97" s="341">
        <v>53387878.57545273</v>
      </c>
      <c r="AU97" s="288">
        <v>14996.606159621801</v>
      </c>
      <c r="AY97" s="341"/>
      <c r="AZ97" s="341"/>
      <c r="BA97" s="288">
        <v>14996.606159621801</v>
      </c>
      <c r="BD97" s="341"/>
      <c r="BE97" s="341"/>
      <c r="BF97" s="288">
        <v>15451.253184409799</v>
      </c>
      <c r="BI97" s="341" t="s">
        <v>1027</v>
      </c>
      <c r="BJ97" s="341">
        <v>51057361.280568272</v>
      </c>
      <c r="BK97" s="288">
        <v>15286.3585882888</v>
      </c>
      <c r="BO97" s="341" t="s">
        <v>1027</v>
      </c>
      <c r="BP97" s="341">
        <v>53387878.57545273</v>
      </c>
      <c r="BQ97" s="288">
        <v>14996.606159621801</v>
      </c>
      <c r="BV97" s="341"/>
      <c r="BW97" s="341"/>
      <c r="BX97" s="288">
        <v>14996.606159621801</v>
      </c>
      <c r="CB97" s="341"/>
      <c r="CC97" s="341"/>
      <c r="CD97" s="288">
        <v>15451.253184409799</v>
      </c>
      <c r="CH97" s="341"/>
      <c r="CI97" s="341"/>
      <c r="CJ97" s="288">
        <v>16123.131104985399</v>
      </c>
      <c r="CM97" s="341"/>
      <c r="CN97" s="341"/>
      <c r="CO97" s="288">
        <v>16623.798625895099</v>
      </c>
      <c r="CQ97" s="341"/>
      <c r="CR97" s="341"/>
      <c r="CS97" s="288">
        <v>16033.0770718285</v>
      </c>
      <c r="CU97" s="341"/>
      <c r="CV97" s="341"/>
      <c r="CW97" s="288">
        <v>15831.040663768699</v>
      </c>
      <c r="CY97" s="341"/>
      <c r="CZ97" s="341"/>
      <c r="DA97" s="288">
        <v>15656.858039504499</v>
      </c>
      <c r="DC97" s="341"/>
      <c r="DD97" s="341"/>
      <c r="DE97" s="288">
        <v>15552.351280581001</v>
      </c>
      <c r="DG97" s="341"/>
      <c r="DH97" s="341"/>
      <c r="DI97" s="288">
        <v>15204.4543221477</v>
      </c>
      <c r="DK97" s="341"/>
      <c r="DL97" s="341"/>
      <c r="DM97" s="288">
        <v>14586.735672622601</v>
      </c>
      <c r="DO97" s="341"/>
      <c r="DP97" s="341"/>
      <c r="DQ97" s="288">
        <v>15704.708139333001</v>
      </c>
      <c r="DS97"/>
      <c r="DT97"/>
      <c r="DU97"/>
      <c r="DV97"/>
      <c r="DW97"/>
      <c r="DX97"/>
      <c r="DY97"/>
      <c r="DZ97"/>
      <c r="EA97"/>
      <c r="EB97"/>
      <c r="EC97"/>
      <c r="ED97"/>
      <c r="EE97"/>
    </row>
    <row r="98" spans="2:135">
      <c r="B98" s="803"/>
      <c r="C98" s="803"/>
      <c r="F98" s="341" t="s">
        <v>146</v>
      </c>
      <c r="G98" s="341">
        <v>4911100</v>
      </c>
      <c r="H98" s="288">
        <v>13684.1571950406</v>
      </c>
      <c r="I98" s="288" t="s">
        <v>1029</v>
      </c>
      <c r="K98" s="748" t="s">
        <v>1117</v>
      </c>
      <c r="L98" s="747"/>
      <c r="P98" s="748" t="s">
        <v>1117</v>
      </c>
      <c r="Q98" s="747"/>
      <c r="U98" s="748" t="s">
        <v>1117</v>
      </c>
      <c r="V98" s="747"/>
      <c r="Y98" s="341" t="s">
        <v>146</v>
      </c>
      <c r="Z98" s="341">
        <v>4911100</v>
      </c>
      <c r="AA98" s="288">
        <v>13684.1571950406</v>
      </c>
      <c r="AB98"/>
      <c r="AC98" s="341"/>
      <c r="AD98" s="341"/>
      <c r="AG98" s="748" t="s">
        <v>1117</v>
      </c>
      <c r="AH98" s="747"/>
      <c r="AK98" s="748" t="s">
        <v>1117</v>
      </c>
      <c r="AL98" s="747"/>
      <c r="AO98" s="833" t="s">
        <v>146</v>
      </c>
      <c r="AP98" s="833">
        <v>4911100</v>
      </c>
      <c r="AQ98" s="288">
        <v>13684.1571950406</v>
      </c>
      <c r="AS98" s="748" t="s">
        <v>1117</v>
      </c>
      <c r="AT98" s="747"/>
      <c r="AY98" s="748" t="s">
        <v>1117</v>
      </c>
      <c r="AZ98" s="747"/>
      <c r="BD98" s="748" t="s">
        <v>1117</v>
      </c>
      <c r="BE98" s="747"/>
      <c r="BI98" s="748" t="s">
        <v>146</v>
      </c>
      <c r="BJ98" s="747">
        <v>4911100</v>
      </c>
      <c r="BK98" s="288">
        <v>13684.1571950406</v>
      </c>
      <c r="BO98" s="748" t="s">
        <v>1117</v>
      </c>
      <c r="BP98" s="747"/>
      <c r="BV98" s="748" t="s">
        <v>1117</v>
      </c>
      <c r="BW98" s="747"/>
      <c r="CB98" s="748" t="s">
        <v>1117</v>
      </c>
      <c r="CC98" s="747"/>
      <c r="CH98" s="748" t="s">
        <v>1117</v>
      </c>
      <c r="CI98" s="747"/>
      <c r="CM98" s="748" t="s">
        <v>1117</v>
      </c>
      <c r="CN98" s="747"/>
      <c r="CQ98" s="748" t="s">
        <v>1117</v>
      </c>
      <c r="CR98" s="747"/>
      <c r="CU98" s="748" t="s">
        <v>1117</v>
      </c>
      <c r="CV98" s="747"/>
      <c r="CY98" s="748" t="s">
        <v>1117</v>
      </c>
      <c r="CZ98" s="747"/>
      <c r="DC98" s="748" t="s">
        <v>1117</v>
      </c>
      <c r="DD98" s="747"/>
      <c r="DG98" s="748" t="s">
        <v>1117</v>
      </c>
      <c r="DH98" s="747"/>
      <c r="DK98" s="748" t="s">
        <v>1117</v>
      </c>
      <c r="DL98" s="747"/>
      <c r="DO98" s="748" t="s">
        <v>1117</v>
      </c>
      <c r="DP98" s="747"/>
      <c r="DS98"/>
      <c r="DT98"/>
      <c r="DU98"/>
      <c r="DV98"/>
      <c r="DW98"/>
      <c r="DX98"/>
      <c r="DY98"/>
      <c r="DZ98"/>
      <c r="EA98"/>
      <c r="EB98"/>
      <c r="EC98"/>
      <c r="ED98"/>
      <c r="EE98"/>
    </row>
    <row r="99" spans="2:135">
      <c r="B99" s="803"/>
      <c r="C99" s="803"/>
      <c r="F99" s="747" t="s">
        <v>1129</v>
      </c>
      <c r="G99" s="747"/>
      <c r="K99" s="747" t="s">
        <v>1129</v>
      </c>
      <c r="L99" s="747"/>
      <c r="P99" s="747" t="s">
        <v>1129</v>
      </c>
      <c r="Q99" s="747"/>
      <c r="U99" s="747" t="s">
        <v>1129</v>
      </c>
      <c r="V99" s="747"/>
      <c r="Y99" s="748" t="s">
        <v>1117</v>
      </c>
      <c r="Z99" s="747"/>
      <c r="AB99"/>
      <c r="AC99" s="748" t="s">
        <v>1117</v>
      </c>
      <c r="AD99" s="747"/>
      <c r="AG99" s="747" t="s">
        <v>1129</v>
      </c>
      <c r="AH99" s="747">
        <v>0</v>
      </c>
      <c r="AK99" s="747" t="s">
        <v>1129</v>
      </c>
      <c r="AL99" s="747">
        <v>0</v>
      </c>
      <c r="AO99" s="747"/>
      <c r="AP99" s="747"/>
      <c r="AS99" s="747" t="s">
        <v>1129</v>
      </c>
      <c r="AT99" s="747"/>
      <c r="AY99" s="747" t="s">
        <v>1129</v>
      </c>
      <c r="AZ99" s="747"/>
      <c r="BD99" s="747" t="s">
        <v>1129</v>
      </c>
      <c r="BE99" s="747"/>
      <c r="BI99" s="747"/>
      <c r="BJ99" s="747"/>
      <c r="BO99" s="747" t="s">
        <v>1129</v>
      </c>
      <c r="BP99" s="747">
        <v>0</v>
      </c>
      <c r="BV99" s="747" t="s">
        <v>1129</v>
      </c>
      <c r="BW99" s="747">
        <v>0</v>
      </c>
      <c r="CB99" s="747" t="s">
        <v>1129</v>
      </c>
      <c r="CC99" s="747">
        <v>0</v>
      </c>
      <c r="CH99" s="747" t="s">
        <v>1129</v>
      </c>
      <c r="CI99" s="747"/>
      <c r="CM99" s="747" t="s">
        <v>1129</v>
      </c>
      <c r="CN99" s="747"/>
      <c r="CQ99" s="747" t="s">
        <v>1129</v>
      </c>
      <c r="CR99" s="747"/>
      <c r="CU99" s="747" t="s">
        <v>1129</v>
      </c>
      <c r="CV99" s="747"/>
      <c r="CY99" s="747" t="s">
        <v>1129</v>
      </c>
      <c r="CZ99" s="747"/>
      <c r="DC99" s="747" t="s">
        <v>1129</v>
      </c>
      <c r="DD99" s="747"/>
      <c r="DG99" s="747" t="s">
        <v>1129</v>
      </c>
      <c r="DH99" s="747"/>
      <c r="DK99" s="747" t="s">
        <v>1129</v>
      </c>
      <c r="DL99" s="747"/>
      <c r="DO99" s="747" t="s">
        <v>1129</v>
      </c>
      <c r="DP99" s="747"/>
      <c r="DS99"/>
      <c r="DT99"/>
      <c r="DU99"/>
      <c r="DV99"/>
      <c r="DW99"/>
      <c r="DX99"/>
      <c r="DY99"/>
      <c r="DZ99"/>
      <c r="EA99"/>
      <c r="EB99"/>
      <c r="EC99"/>
      <c r="ED99"/>
      <c r="EE99"/>
    </row>
    <row r="100" spans="2:135">
      <c r="B100" s="803"/>
      <c r="C100" s="803"/>
      <c r="F100" s="747" t="s">
        <v>1130</v>
      </c>
      <c r="G100" s="747"/>
      <c r="K100" s="747" t="s">
        <v>1130</v>
      </c>
      <c r="L100" s="747"/>
      <c r="P100" s="747" t="s">
        <v>1130</v>
      </c>
      <c r="Q100" s="747"/>
      <c r="U100" s="747" t="s">
        <v>1130</v>
      </c>
      <c r="V100" s="747"/>
      <c r="Y100" s="747" t="s">
        <v>1129</v>
      </c>
      <c r="Z100" s="747">
        <v>0</v>
      </c>
      <c r="AB100"/>
      <c r="AC100" s="747" t="s">
        <v>1129</v>
      </c>
      <c r="AD100" s="747">
        <v>0</v>
      </c>
      <c r="AG100" s="747" t="s">
        <v>1130</v>
      </c>
      <c r="AH100" s="747">
        <v>112900</v>
      </c>
      <c r="AK100" s="747" t="s">
        <v>1130</v>
      </c>
      <c r="AL100" s="747">
        <v>113800</v>
      </c>
      <c r="AO100" s="748" t="s">
        <v>1117</v>
      </c>
      <c r="AP100" s="747"/>
      <c r="AS100" s="747" t="s">
        <v>1130</v>
      </c>
      <c r="AT100" s="747"/>
      <c r="AY100" s="747" t="s">
        <v>1130</v>
      </c>
      <c r="AZ100" s="747"/>
      <c r="BD100" s="747" t="s">
        <v>1130</v>
      </c>
      <c r="BE100" s="747"/>
      <c r="BI100" s="748" t="s">
        <v>1117</v>
      </c>
      <c r="BJ100" s="747"/>
      <c r="BO100" s="747" t="s">
        <v>1130</v>
      </c>
      <c r="BP100" s="747">
        <v>28400</v>
      </c>
      <c r="BV100" s="747" t="s">
        <v>1130</v>
      </c>
      <c r="BW100" s="747">
        <v>28300</v>
      </c>
      <c r="CB100" s="747" t="s">
        <v>1130</v>
      </c>
      <c r="CC100" s="747">
        <v>39300</v>
      </c>
      <c r="CH100" s="747" t="s">
        <v>1130</v>
      </c>
      <c r="CI100" s="747"/>
      <c r="CM100" s="747" t="s">
        <v>1130</v>
      </c>
      <c r="CN100" s="747"/>
      <c r="CQ100" s="747" t="s">
        <v>1130</v>
      </c>
      <c r="CR100" s="747"/>
      <c r="CU100" s="747" t="s">
        <v>1130</v>
      </c>
      <c r="CV100" s="747"/>
      <c r="CY100" s="747" t="s">
        <v>1130</v>
      </c>
      <c r="CZ100" s="747"/>
      <c r="DC100" s="747" t="s">
        <v>1130</v>
      </c>
      <c r="DD100" s="747"/>
      <c r="DG100" s="747" t="s">
        <v>1130</v>
      </c>
      <c r="DH100" s="747"/>
      <c r="DK100" s="747" t="s">
        <v>1130</v>
      </c>
      <c r="DL100" s="747"/>
      <c r="DO100" s="747" t="s">
        <v>1130</v>
      </c>
      <c r="DP100" s="747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</row>
    <row r="101" spans="2:135">
      <c r="B101" s="803"/>
      <c r="C101" s="803"/>
      <c r="F101" s="747" t="s">
        <v>1131</v>
      </c>
      <c r="G101" s="747"/>
      <c r="K101" s="747" t="s">
        <v>1131</v>
      </c>
      <c r="L101" s="747"/>
      <c r="P101" s="747" t="s">
        <v>1131</v>
      </c>
      <c r="Q101" s="747"/>
      <c r="U101" s="747" t="s">
        <v>1131</v>
      </c>
      <c r="V101" s="747"/>
      <c r="Y101" s="747" t="s">
        <v>1130</v>
      </c>
      <c r="Z101" s="747">
        <v>154600</v>
      </c>
      <c r="AB101"/>
      <c r="AC101" s="747" t="s">
        <v>1130</v>
      </c>
      <c r="AD101" s="747">
        <v>137600</v>
      </c>
      <c r="AG101" s="747" t="s">
        <v>1131</v>
      </c>
      <c r="AH101" s="747">
        <v>100100</v>
      </c>
      <c r="AK101" s="747" t="s">
        <v>1131</v>
      </c>
      <c r="AL101" s="747">
        <v>84700</v>
      </c>
      <c r="AO101" s="747" t="s">
        <v>1129</v>
      </c>
      <c r="AP101" s="747"/>
      <c r="AS101" s="747" t="s">
        <v>1131</v>
      </c>
      <c r="AT101" s="747"/>
      <c r="AY101" s="747" t="s">
        <v>1131</v>
      </c>
      <c r="AZ101" s="747"/>
      <c r="BD101" s="747" t="s">
        <v>1131</v>
      </c>
      <c r="BE101" s="747"/>
      <c r="BI101" s="747" t="s">
        <v>1129</v>
      </c>
      <c r="BJ101" s="747">
        <v>0</v>
      </c>
      <c r="BO101" s="747" t="s">
        <v>1131</v>
      </c>
      <c r="BP101" s="747">
        <v>15900</v>
      </c>
      <c r="BV101" s="747" t="s">
        <v>1131</v>
      </c>
      <c r="BW101" s="747">
        <v>17600</v>
      </c>
      <c r="CB101" s="747" t="s">
        <v>1131</v>
      </c>
      <c r="CC101" s="747">
        <v>24200</v>
      </c>
      <c r="CH101" s="747" t="s">
        <v>1131</v>
      </c>
      <c r="CI101" s="747"/>
      <c r="CM101" s="747" t="s">
        <v>1131</v>
      </c>
      <c r="CN101" s="747"/>
      <c r="CQ101" s="747" t="s">
        <v>1131</v>
      </c>
      <c r="CR101" s="747"/>
      <c r="CU101" s="747" t="s">
        <v>1131</v>
      </c>
      <c r="CV101" s="747"/>
      <c r="CY101" s="747" t="s">
        <v>1131</v>
      </c>
      <c r="CZ101" s="747"/>
      <c r="DC101" s="747" t="s">
        <v>1131</v>
      </c>
      <c r="DD101" s="747"/>
      <c r="DG101" s="747" t="s">
        <v>1131</v>
      </c>
      <c r="DH101" s="747"/>
      <c r="DK101" s="747" t="s">
        <v>1131</v>
      </c>
      <c r="DL101" s="747"/>
      <c r="DO101" s="747" t="s">
        <v>1131</v>
      </c>
      <c r="DP101" s="747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</row>
    <row r="102" spans="2:135">
      <c r="B102" s="803"/>
      <c r="C102" s="803"/>
      <c r="F102" s="747" t="s">
        <v>1132</v>
      </c>
      <c r="G102" s="747"/>
      <c r="K102" s="747" t="s">
        <v>1132</v>
      </c>
      <c r="L102" s="747"/>
      <c r="P102" s="747" t="s">
        <v>1132</v>
      </c>
      <c r="Q102" s="747"/>
      <c r="U102" s="747" t="s">
        <v>1132</v>
      </c>
      <c r="V102" s="747"/>
      <c r="Y102" s="747" t="s">
        <v>1131</v>
      </c>
      <c r="Z102" s="747">
        <v>114900</v>
      </c>
      <c r="AB102"/>
      <c r="AC102" s="747" t="s">
        <v>1131</v>
      </c>
      <c r="AD102" s="747">
        <v>100500</v>
      </c>
      <c r="AG102" s="747" t="s">
        <v>1132</v>
      </c>
      <c r="AH102" s="747">
        <v>0</v>
      </c>
      <c r="AK102" s="747" t="s">
        <v>1132</v>
      </c>
      <c r="AL102" s="747">
        <v>0</v>
      </c>
      <c r="AO102" s="747" t="s">
        <v>1130</v>
      </c>
      <c r="AP102" s="747"/>
      <c r="AS102" s="747" t="s">
        <v>1132</v>
      </c>
      <c r="AT102" s="747"/>
      <c r="AY102" s="747" t="s">
        <v>1132</v>
      </c>
      <c r="AZ102" s="747"/>
      <c r="BD102" s="747" t="s">
        <v>1132</v>
      </c>
      <c r="BE102" s="747"/>
      <c r="BI102" s="747" t="s">
        <v>1130</v>
      </c>
      <c r="BJ102" s="747">
        <v>17400</v>
      </c>
      <c r="BO102" s="747" t="s">
        <v>1132</v>
      </c>
      <c r="BP102" s="747">
        <v>0</v>
      </c>
      <c r="BV102" s="747" t="s">
        <v>1132</v>
      </c>
      <c r="BW102" s="747">
        <v>0</v>
      </c>
      <c r="CB102" s="747" t="s">
        <v>1132</v>
      </c>
      <c r="CC102" s="747">
        <v>0</v>
      </c>
      <c r="CH102" s="747" t="s">
        <v>1132</v>
      </c>
      <c r="CI102" s="747"/>
      <c r="CM102" s="747" t="s">
        <v>1132</v>
      </c>
      <c r="CN102" s="747"/>
      <c r="CQ102" s="747" t="s">
        <v>1132</v>
      </c>
      <c r="CR102" s="747"/>
      <c r="CU102" s="747" t="s">
        <v>1132</v>
      </c>
      <c r="CV102" s="747"/>
      <c r="CY102" s="747" t="s">
        <v>1132</v>
      </c>
      <c r="CZ102" s="747"/>
      <c r="DC102" s="747" t="s">
        <v>1132</v>
      </c>
      <c r="DD102" s="747"/>
      <c r="DG102" s="747" t="s">
        <v>1132</v>
      </c>
      <c r="DH102" s="747"/>
      <c r="DK102" s="747" t="s">
        <v>1132</v>
      </c>
      <c r="DL102" s="747"/>
      <c r="DO102" s="747" t="s">
        <v>1132</v>
      </c>
      <c r="DP102" s="747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</row>
    <row r="103" spans="2:135">
      <c r="B103" s="803"/>
      <c r="C103" s="803"/>
      <c r="F103" s="747" t="s">
        <v>1133</v>
      </c>
      <c r="G103" s="747"/>
      <c r="K103" s="747" t="s">
        <v>1133</v>
      </c>
      <c r="L103" s="747"/>
      <c r="P103" s="747" t="s">
        <v>1133</v>
      </c>
      <c r="Q103" s="747"/>
      <c r="U103" s="747" t="s">
        <v>1133</v>
      </c>
      <c r="V103" s="747"/>
      <c r="Y103" s="747" t="s">
        <v>1132</v>
      </c>
      <c r="Z103" s="747">
        <v>0</v>
      </c>
      <c r="AB103"/>
      <c r="AC103" s="747" t="s">
        <v>1132</v>
      </c>
      <c r="AD103" s="747">
        <v>0</v>
      </c>
      <c r="AG103" s="747" t="s">
        <v>1133</v>
      </c>
      <c r="AH103" s="747">
        <v>8001761.4975437401</v>
      </c>
      <c r="AK103" s="747" t="s">
        <v>1133</v>
      </c>
      <c r="AL103" s="747">
        <v>6455713.9175175233</v>
      </c>
      <c r="AO103" s="747" t="s">
        <v>1131</v>
      </c>
      <c r="AP103" s="747"/>
      <c r="AS103" s="747" t="s">
        <v>1133</v>
      </c>
      <c r="AT103" s="747"/>
      <c r="AY103" s="747" t="s">
        <v>1133</v>
      </c>
      <c r="AZ103" s="747"/>
      <c r="BD103" s="747" t="s">
        <v>1133</v>
      </c>
      <c r="BE103" s="747"/>
      <c r="BI103" s="747" t="s">
        <v>1131</v>
      </c>
      <c r="BJ103" s="747">
        <v>14000</v>
      </c>
      <c r="BO103" s="747" t="s">
        <v>1133</v>
      </c>
      <c r="BP103" s="747">
        <v>1313900</v>
      </c>
      <c r="BV103" s="747" t="s">
        <v>1133</v>
      </c>
      <c r="BW103" s="747">
        <v>1427900</v>
      </c>
      <c r="CB103" s="747" t="s">
        <v>1133</v>
      </c>
      <c r="CC103" s="747">
        <v>2452600</v>
      </c>
      <c r="CH103" s="747" t="s">
        <v>1133</v>
      </c>
      <c r="CI103" s="747"/>
      <c r="CM103" s="747" t="s">
        <v>1133</v>
      </c>
      <c r="CN103" s="747"/>
      <c r="CQ103" s="747" t="s">
        <v>1133</v>
      </c>
      <c r="CR103" s="747"/>
      <c r="CU103" s="747" t="s">
        <v>1133</v>
      </c>
      <c r="CV103" s="747"/>
      <c r="CY103" s="747" t="s">
        <v>1133</v>
      </c>
      <c r="CZ103" s="747"/>
      <c r="DC103" s="747" t="s">
        <v>1133</v>
      </c>
      <c r="DD103" s="747"/>
      <c r="DG103" s="747" t="s">
        <v>1133</v>
      </c>
      <c r="DH103" s="747"/>
      <c r="DK103" s="747" t="s">
        <v>1133</v>
      </c>
      <c r="DL103" s="747"/>
      <c r="DO103" s="747" t="s">
        <v>1133</v>
      </c>
      <c r="DP103" s="747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</row>
    <row r="104" spans="2:135">
      <c r="B104" s="803"/>
      <c r="C104" s="803"/>
      <c r="F104" s="747" t="s">
        <v>1134</v>
      </c>
      <c r="G104" s="747"/>
      <c r="K104" s="747" t="s">
        <v>1134</v>
      </c>
      <c r="L104" s="747"/>
      <c r="P104" s="747" t="s">
        <v>1134</v>
      </c>
      <c r="Q104" s="747"/>
      <c r="U104" s="747" t="s">
        <v>1134</v>
      </c>
      <c r="V104" s="747"/>
      <c r="Y104" s="747" t="s">
        <v>1133</v>
      </c>
      <c r="Z104" s="747">
        <v>7380005.6284978995</v>
      </c>
      <c r="AB104"/>
      <c r="AC104" s="747" t="s">
        <v>1133</v>
      </c>
      <c r="AD104" s="747">
        <v>6808366.8388324333</v>
      </c>
      <c r="AG104" s="747" t="s">
        <v>1134</v>
      </c>
      <c r="AH104" s="747">
        <v>10200</v>
      </c>
      <c r="AK104" s="747" t="s">
        <v>1134</v>
      </c>
      <c r="AL104" s="747">
        <v>9200</v>
      </c>
      <c r="AO104" s="747" t="s">
        <v>1132</v>
      </c>
      <c r="AP104" s="747"/>
      <c r="AS104" s="747" t="s">
        <v>1134</v>
      </c>
      <c r="AT104" s="747"/>
      <c r="AY104" s="747" t="s">
        <v>1134</v>
      </c>
      <c r="AZ104" s="747"/>
      <c r="BD104" s="747" t="s">
        <v>1134</v>
      </c>
      <c r="BE104" s="747"/>
      <c r="BI104" s="747" t="s">
        <v>1132</v>
      </c>
      <c r="BJ104" s="747">
        <v>0</v>
      </c>
      <c r="BO104" s="747" t="s">
        <v>1134</v>
      </c>
      <c r="BP104" s="747">
        <v>5800</v>
      </c>
      <c r="BV104" s="747" t="s">
        <v>1134</v>
      </c>
      <c r="BW104" s="747">
        <v>5800</v>
      </c>
      <c r="CB104" s="747" t="s">
        <v>1134</v>
      </c>
      <c r="CC104" s="747">
        <v>5900</v>
      </c>
      <c r="CH104" s="747" t="s">
        <v>1134</v>
      </c>
      <c r="CI104" s="747"/>
      <c r="CM104" s="747" t="s">
        <v>1134</v>
      </c>
      <c r="CN104" s="747"/>
      <c r="CQ104" s="747" t="s">
        <v>1134</v>
      </c>
      <c r="CR104" s="747"/>
      <c r="CU104" s="747" t="s">
        <v>1134</v>
      </c>
      <c r="CV104" s="747"/>
      <c r="CY104" s="747" t="s">
        <v>1134</v>
      </c>
      <c r="CZ104" s="747"/>
      <c r="DC104" s="747" t="s">
        <v>1134</v>
      </c>
      <c r="DD104" s="747"/>
      <c r="DG104" s="747" t="s">
        <v>1134</v>
      </c>
      <c r="DH104" s="747"/>
      <c r="DK104" s="747" t="s">
        <v>1134</v>
      </c>
      <c r="DL104" s="747"/>
      <c r="DO104" s="747" t="s">
        <v>1134</v>
      </c>
      <c r="DP104" s="747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</row>
    <row r="105" spans="2:135">
      <c r="B105" s="803"/>
      <c r="C105" s="803"/>
      <c r="F105" s="747" t="s">
        <v>1135</v>
      </c>
      <c r="G105" s="747"/>
      <c r="K105" s="747" t="s">
        <v>1135</v>
      </c>
      <c r="L105" s="747"/>
      <c r="P105" s="747" t="s">
        <v>1135</v>
      </c>
      <c r="Q105" s="747"/>
      <c r="U105" s="747" t="s">
        <v>1135</v>
      </c>
      <c r="V105" s="747"/>
      <c r="Y105" s="747" t="s">
        <v>1134</v>
      </c>
      <c r="Z105" s="747">
        <v>11600</v>
      </c>
      <c r="AB105"/>
      <c r="AC105" s="747" t="s">
        <v>1134</v>
      </c>
      <c r="AD105" s="747">
        <v>10200</v>
      </c>
      <c r="AG105" s="747" t="s">
        <v>1135</v>
      </c>
      <c r="AH105" s="747">
        <v>1005200</v>
      </c>
      <c r="AK105" s="747" t="s">
        <v>1135</v>
      </c>
      <c r="AL105" s="747">
        <v>831400</v>
      </c>
      <c r="AO105" s="747" t="s">
        <v>1133</v>
      </c>
      <c r="AP105" s="747"/>
      <c r="AS105" s="747" t="s">
        <v>1135</v>
      </c>
      <c r="AT105" s="747"/>
      <c r="AY105" s="747" t="s">
        <v>1135</v>
      </c>
      <c r="AZ105" s="747"/>
      <c r="BD105" s="747" t="s">
        <v>1135</v>
      </c>
      <c r="BE105" s="747"/>
      <c r="BI105" s="747" t="s">
        <v>1133</v>
      </c>
      <c r="BJ105" s="747">
        <v>557100</v>
      </c>
      <c r="BO105" s="747" t="s">
        <v>1135</v>
      </c>
      <c r="BP105" s="747">
        <v>139100</v>
      </c>
      <c r="BV105" s="747" t="s">
        <v>1135</v>
      </c>
      <c r="BW105" s="747">
        <v>146900</v>
      </c>
      <c r="CB105" s="747" t="s">
        <v>1135</v>
      </c>
      <c r="CC105" s="747">
        <v>198700</v>
      </c>
      <c r="CH105" s="747" t="s">
        <v>1135</v>
      </c>
      <c r="CI105" s="747"/>
      <c r="CM105" s="747" t="s">
        <v>1135</v>
      </c>
      <c r="CN105" s="747"/>
      <c r="CQ105" s="747" t="s">
        <v>1135</v>
      </c>
      <c r="CR105" s="747"/>
      <c r="CU105" s="747" t="s">
        <v>1135</v>
      </c>
      <c r="CV105" s="747"/>
      <c r="CY105" s="747" t="s">
        <v>1135</v>
      </c>
      <c r="CZ105" s="747"/>
      <c r="DC105" s="747" t="s">
        <v>1135</v>
      </c>
      <c r="DD105" s="747"/>
      <c r="DG105" s="747" t="s">
        <v>1135</v>
      </c>
      <c r="DH105" s="747"/>
      <c r="DK105" s="747" t="s">
        <v>1135</v>
      </c>
      <c r="DL105" s="747"/>
      <c r="DO105" s="747" t="s">
        <v>1135</v>
      </c>
      <c r="DP105" s="747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</row>
    <row r="106" spans="2:135">
      <c r="B106" s="803"/>
      <c r="C106" s="803"/>
      <c r="F106" s="747" t="s">
        <v>1072</v>
      </c>
      <c r="G106" s="747"/>
      <c r="K106" s="747" t="s">
        <v>1072</v>
      </c>
      <c r="L106" s="747"/>
      <c r="P106" s="747" t="s">
        <v>1072</v>
      </c>
      <c r="Q106" s="747"/>
      <c r="U106" s="747" t="s">
        <v>1072</v>
      </c>
      <c r="V106" s="747"/>
      <c r="Y106" s="747" t="s">
        <v>1135</v>
      </c>
      <c r="Z106" s="747">
        <v>1077600</v>
      </c>
      <c r="AB106"/>
      <c r="AC106" s="747" t="s">
        <v>1135</v>
      </c>
      <c r="AD106" s="747">
        <v>952700</v>
      </c>
      <c r="AG106" s="747" t="s">
        <v>1072</v>
      </c>
      <c r="AH106" s="747">
        <v>8700</v>
      </c>
      <c r="AK106" s="747" t="s">
        <v>1072</v>
      </c>
      <c r="AL106" s="747">
        <v>8500</v>
      </c>
      <c r="AO106" s="747" t="s">
        <v>1134</v>
      </c>
      <c r="AP106" s="747"/>
      <c r="AS106" s="747" t="s">
        <v>1072</v>
      </c>
      <c r="AT106" s="747"/>
      <c r="AY106" s="747" t="s">
        <v>1072</v>
      </c>
      <c r="AZ106" s="747"/>
      <c r="BD106" s="747" t="s">
        <v>1072</v>
      </c>
      <c r="BE106" s="747"/>
      <c r="BI106" s="747" t="s">
        <v>1134</v>
      </c>
      <c r="BJ106" s="747">
        <v>5000</v>
      </c>
      <c r="BO106" s="747" t="s">
        <v>1072</v>
      </c>
      <c r="BP106" s="747">
        <v>5500</v>
      </c>
      <c r="BV106" s="747" t="s">
        <v>1072</v>
      </c>
      <c r="BW106" s="747">
        <v>5600</v>
      </c>
      <c r="CB106" s="747" t="s">
        <v>1072</v>
      </c>
      <c r="CC106" s="747">
        <v>6300</v>
      </c>
      <c r="CH106" s="747" t="s">
        <v>1072</v>
      </c>
      <c r="CI106" s="747"/>
      <c r="CM106" s="747" t="s">
        <v>1072</v>
      </c>
      <c r="CN106" s="747"/>
      <c r="CQ106" s="747" t="s">
        <v>1072</v>
      </c>
      <c r="CR106" s="747"/>
      <c r="CU106" s="747" t="s">
        <v>1072</v>
      </c>
      <c r="CV106" s="747"/>
      <c r="CY106" s="747" t="s">
        <v>1072</v>
      </c>
      <c r="CZ106" s="747"/>
      <c r="DC106" s="747" t="s">
        <v>1072</v>
      </c>
      <c r="DD106" s="747"/>
      <c r="DG106" s="747" t="s">
        <v>1072</v>
      </c>
      <c r="DH106" s="747"/>
      <c r="DK106" s="747" t="s">
        <v>1072</v>
      </c>
      <c r="DL106" s="747"/>
      <c r="DO106" s="747" t="s">
        <v>1072</v>
      </c>
      <c r="DP106" s="747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</row>
    <row r="107" spans="2:135">
      <c r="B107" s="803"/>
      <c r="C107" s="803"/>
      <c r="F107" s="747" t="s">
        <v>1128</v>
      </c>
      <c r="G107" s="747"/>
      <c r="K107" s="747" t="s">
        <v>1128</v>
      </c>
      <c r="L107" s="747"/>
      <c r="P107" s="747" t="s">
        <v>1128</v>
      </c>
      <c r="Q107" s="747"/>
      <c r="U107" s="747" t="s">
        <v>1128</v>
      </c>
      <c r="V107" s="747"/>
      <c r="Y107" s="747" t="s">
        <v>1072</v>
      </c>
      <c r="Z107" s="747">
        <v>6800</v>
      </c>
      <c r="AB107"/>
      <c r="AC107" s="747" t="s">
        <v>1072</v>
      </c>
      <c r="AD107" s="747">
        <v>6900</v>
      </c>
      <c r="AG107" s="747" t="s">
        <v>1128</v>
      </c>
      <c r="AH107" s="747">
        <v>266200</v>
      </c>
      <c r="AK107" s="747" t="s">
        <v>1128</v>
      </c>
      <c r="AL107" s="747">
        <v>285200</v>
      </c>
      <c r="AO107" s="747" t="s">
        <v>1135</v>
      </c>
      <c r="AP107" s="747"/>
      <c r="AS107" s="747" t="s">
        <v>1128</v>
      </c>
      <c r="AT107" s="747"/>
      <c r="AY107" s="747" t="s">
        <v>1128</v>
      </c>
      <c r="AZ107" s="747"/>
      <c r="BD107" s="747" t="s">
        <v>1128</v>
      </c>
      <c r="BE107" s="747"/>
      <c r="BI107" s="747" t="s">
        <v>1135</v>
      </c>
      <c r="BJ107" s="747">
        <v>86500</v>
      </c>
      <c r="BO107" s="747" t="s">
        <v>1128</v>
      </c>
      <c r="BP107" s="747">
        <v>20300</v>
      </c>
      <c r="BV107" s="747" t="s">
        <v>1128</v>
      </c>
      <c r="BW107" s="747">
        <v>21100</v>
      </c>
      <c r="CB107" s="747" t="s">
        <v>1128</v>
      </c>
      <c r="CC107" s="747">
        <v>30100</v>
      </c>
      <c r="CH107" s="747" t="s">
        <v>1128</v>
      </c>
      <c r="CI107" s="747"/>
      <c r="CM107" s="747" t="s">
        <v>1128</v>
      </c>
      <c r="CN107" s="747"/>
      <c r="CQ107" s="747" t="s">
        <v>1128</v>
      </c>
      <c r="CR107" s="747"/>
      <c r="CU107" s="747" t="s">
        <v>1128</v>
      </c>
      <c r="CV107" s="747"/>
      <c r="CY107" s="747" t="s">
        <v>1128</v>
      </c>
      <c r="CZ107" s="747"/>
      <c r="DC107" s="747" t="s">
        <v>1128</v>
      </c>
      <c r="DD107" s="747"/>
      <c r="DG107" s="747" t="s">
        <v>1128</v>
      </c>
      <c r="DH107" s="747"/>
      <c r="DK107" s="747" t="s">
        <v>1128</v>
      </c>
      <c r="DL107" s="747"/>
      <c r="DO107" s="747" t="s">
        <v>1128</v>
      </c>
      <c r="DP107" s="74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</row>
    <row r="108" spans="2:135">
      <c r="B108" s="803"/>
      <c r="C108" s="803"/>
      <c r="F108" s="747" t="s">
        <v>1136</v>
      </c>
      <c r="G108" s="747"/>
      <c r="K108" s="747" t="s">
        <v>1136</v>
      </c>
      <c r="L108" s="747"/>
      <c r="P108" s="747" t="s">
        <v>1136</v>
      </c>
      <c r="Q108" s="747"/>
      <c r="U108" s="747" t="s">
        <v>1136</v>
      </c>
      <c r="V108" s="747"/>
      <c r="Y108" s="747" t="s">
        <v>1128</v>
      </c>
      <c r="Z108" s="747">
        <v>580400</v>
      </c>
      <c r="AB108"/>
      <c r="AC108" s="747" t="s">
        <v>1128</v>
      </c>
      <c r="AD108" s="747">
        <v>471600</v>
      </c>
      <c r="AG108" s="747" t="s">
        <v>1136</v>
      </c>
      <c r="AH108" s="747">
        <v>0</v>
      </c>
      <c r="AK108" s="747" t="s">
        <v>1136</v>
      </c>
      <c r="AL108" s="747">
        <v>0</v>
      </c>
      <c r="AO108" s="747" t="s">
        <v>1072</v>
      </c>
      <c r="AP108" s="747"/>
      <c r="AS108" s="747" t="s">
        <v>1136</v>
      </c>
      <c r="AT108" s="747"/>
      <c r="AY108" s="747" t="s">
        <v>1136</v>
      </c>
      <c r="AZ108" s="747"/>
      <c r="BD108" s="747" t="s">
        <v>1136</v>
      </c>
      <c r="BE108" s="747"/>
      <c r="BI108" s="747" t="s">
        <v>1072</v>
      </c>
      <c r="BJ108" s="747">
        <v>5100</v>
      </c>
      <c r="BO108" s="747" t="s">
        <v>1136</v>
      </c>
      <c r="BP108" s="747">
        <v>0</v>
      </c>
      <c r="BV108" s="747" t="s">
        <v>1136</v>
      </c>
      <c r="BW108" s="747">
        <v>0</v>
      </c>
      <c r="CB108" s="747" t="s">
        <v>1136</v>
      </c>
      <c r="CC108" s="747">
        <v>0</v>
      </c>
      <c r="CH108" s="747" t="s">
        <v>1136</v>
      </c>
      <c r="CI108" s="747"/>
      <c r="CM108" s="747" t="s">
        <v>1136</v>
      </c>
      <c r="CN108" s="747"/>
      <c r="CQ108" s="747" t="s">
        <v>1136</v>
      </c>
      <c r="CR108" s="747"/>
      <c r="CU108" s="747" t="s">
        <v>1136</v>
      </c>
      <c r="CV108" s="747"/>
      <c r="CY108" s="747" t="s">
        <v>1136</v>
      </c>
      <c r="CZ108" s="747"/>
      <c r="DC108" s="747" t="s">
        <v>1136</v>
      </c>
      <c r="DD108" s="747"/>
      <c r="DG108" s="747" t="s">
        <v>1136</v>
      </c>
      <c r="DH108" s="747"/>
      <c r="DK108" s="747" t="s">
        <v>1136</v>
      </c>
      <c r="DL108" s="747"/>
      <c r="DO108" s="747" t="s">
        <v>1136</v>
      </c>
      <c r="DP108" s="747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</row>
    <row r="109" spans="2:135">
      <c r="B109" s="803"/>
      <c r="C109" s="803"/>
      <c r="F109" s="747" t="s">
        <v>1137</v>
      </c>
      <c r="G109" s="747"/>
      <c r="K109" s="747" t="s">
        <v>1137</v>
      </c>
      <c r="L109" s="747"/>
      <c r="P109" s="747" t="s">
        <v>1137</v>
      </c>
      <c r="Q109" s="747"/>
      <c r="U109" s="747" t="s">
        <v>1137</v>
      </c>
      <c r="V109" s="747"/>
      <c r="Y109" s="747" t="s">
        <v>1136</v>
      </c>
      <c r="Z109" s="747">
        <v>0</v>
      </c>
      <c r="AB109"/>
      <c r="AC109" s="747" t="s">
        <v>1136</v>
      </c>
      <c r="AD109" s="747">
        <v>0</v>
      </c>
      <c r="AG109" s="747" t="s">
        <v>1137</v>
      </c>
      <c r="AH109" s="747">
        <v>841800</v>
      </c>
      <c r="AK109" s="747" t="s">
        <v>1137</v>
      </c>
      <c r="AL109" s="747">
        <v>875900</v>
      </c>
      <c r="AO109" s="747" t="s">
        <v>1128</v>
      </c>
      <c r="AP109" s="747"/>
      <c r="AS109" s="747" t="s">
        <v>1137</v>
      </c>
      <c r="AT109" s="747"/>
      <c r="AY109" s="747" t="s">
        <v>1137</v>
      </c>
      <c r="AZ109" s="747"/>
      <c r="BD109" s="747" t="s">
        <v>1137</v>
      </c>
      <c r="BE109" s="747"/>
      <c r="BI109" s="747" t="s">
        <v>1128</v>
      </c>
      <c r="BJ109" s="747">
        <v>14200</v>
      </c>
      <c r="BO109" s="747" t="s">
        <v>1137</v>
      </c>
      <c r="BP109" s="747">
        <v>110400</v>
      </c>
      <c r="BV109" s="747" t="s">
        <v>1137</v>
      </c>
      <c r="BW109" s="747">
        <v>116000</v>
      </c>
      <c r="CB109" s="747" t="s">
        <v>1137</v>
      </c>
      <c r="CC109" s="747">
        <v>160800</v>
      </c>
      <c r="CH109" s="747" t="s">
        <v>1137</v>
      </c>
      <c r="CI109" s="747"/>
      <c r="CM109" s="747" t="s">
        <v>1137</v>
      </c>
      <c r="CN109" s="747"/>
      <c r="CQ109" s="747" t="s">
        <v>1137</v>
      </c>
      <c r="CR109" s="747"/>
      <c r="CU109" s="747" t="s">
        <v>1137</v>
      </c>
      <c r="CV109" s="747"/>
      <c r="CY109" s="747" t="s">
        <v>1137</v>
      </c>
      <c r="CZ109" s="747"/>
      <c r="DC109" s="747" t="s">
        <v>1137</v>
      </c>
      <c r="DD109" s="747"/>
      <c r="DG109" s="747" t="s">
        <v>1137</v>
      </c>
      <c r="DH109" s="747"/>
      <c r="DK109" s="747" t="s">
        <v>1137</v>
      </c>
      <c r="DL109" s="747"/>
      <c r="DO109" s="747" t="s">
        <v>1137</v>
      </c>
      <c r="DP109" s="747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</row>
    <row r="110" spans="2:135">
      <c r="B110" s="803"/>
      <c r="C110" s="803"/>
      <c r="F110" s="747" t="s">
        <v>1127</v>
      </c>
      <c r="G110" s="747"/>
      <c r="K110" s="747" t="s">
        <v>1127</v>
      </c>
      <c r="L110" s="747"/>
      <c r="P110" s="747" t="s">
        <v>1127</v>
      </c>
      <c r="Q110" s="747"/>
      <c r="U110" s="747" t="s">
        <v>1127</v>
      </c>
      <c r="V110" s="747"/>
      <c r="Y110" s="747" t="s">
        <v>1137</v>
      </c>
      <c r="Z110" s="747">
        <v>1298700</v>
      </c>
      <c r="AB110"/>
      <c r="AC110" s="747" t="s">
        <v>1137</v>
      </c>
      <c r="AD110" s="747">
        <v>1167100</v>
      </c>
      <c r="AG110" s="747" t="s">
        <v>1127</v>
      </c>
      <c r="AH110" s="747">
        <v>1437600</v>
      </c>
      <c r="AK110" s="747" t="s">
        <v>1127</v>
      </c>
      <c r="AL110" s="747">
        <v>1422800</v>
      </c>
      <c r="AO110" s="747" t="s">
        <v>1136</v>
      </c>
      <c r="AP110" s="747"/>
      <c r="AS110" s="747" t="s">
        <v>1127</v>
      </c>
      <c r="AT110" s="747"/>
      <c r="AY110" s="747" t="s">
        <v>1127</v>
      </c>
      <c r="AZ110" s="747"/>
      <c r="BD110" s="747" t="s">
        <v>1127</v>
      </c>
      <c r="BE110" s="747"/>
      <c r="BI110" s="747" t="s">
        <v>1136</v>
      </c>
      <c r="BJ110" s="747">
        <v>0</v>
      </c>
      <c r="BO110" s="747" t="s">
        <v>1127</v>
      </c>
      <c r="BP110" s="747">
        <v>144300</v>
      </c>
      <c r="BV110" s="747" t="s">
        <v>1127</v>
      </c>
      <c r="BW110" s="747">
        <v>151700</v>
      </c>
      <c r="CB110" s="747" t="s">
        <v>1127</v>
      </c>
      <c r="CC110" s="747">
        <v>214300</v>
      </c>
      <c r="CH110" s="747" t="s">
        <v>1127</v>
      </c>
      <c r="CI110" s="747"/>
      <c r="CM110" s="747" t="s">
        <v>1127</v>
      </c>
      <c r="CN110" s="747"/>
      <c r="CQ110" s="747" t="s">
        <v>1127</v>
      </c>
      <c r="CR110" s="747"/>
      <c r="CU110" s="747" t="s">
        <v>1127</v>
      </c>
      <c r="CV110" s="747"/>
      <c r="CY110" s="747" t="s">
        <v>1127</v>
      </c>
      <c r="CZ110" s="747"/>
      <c r="DC110" s="747" t="s">
        <v>1127</v>
      </c>
      <c r="DD110" s="747"/>
      <c r="DG110" s="747" t="s">
        <v>1127</v>
      </c>
      <c r="DH110" s="747"/>
      <c r="DK110" s="747" t="s">
        <v>1127</v>
      </c>
      <c r="DL110" s="747"/>
      <c r="DO110" s="747" t="s">
        <v>1127</v>
      </c>
      <c r="DP110" s="747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</row>
    <row r="111" spans="2:135">
      <c r="B111" s="803"/>
      <c r="C111" s="803"/>
      <c r="F111" s="747" t="s">
        <v>1138</v>
      </c>
      <c r="G111" s="747"/>
      <c r="K111" s="747" t="s">
        <v>1138</v>
      </c>
      <c r="L111" s="747"/>
      <c r="P111" s="747" t="s">
        <v>1138</v>
      </c>
      <c r="Q111" s="747"/>
      <c r="U111" s="747" t="s">
        <v>1138</v>
      </c>
      <c r="V111" s="747"/>
      <c r="Y111" s="747" t="s">
        <v>1127</v>
      </c>
      <c r="Z111" s="747">
        <v>2200700</v>
      </c>
      <c r="AB111"/>
      <c r="AC111" s="747" t="s">
        <v>1127</v>
      </c>
      <c r="AD111" s="747">
        <v>1938800</v>
      </c>
      <c r="AG111" s="747" t="s">
        <v>1253</v>
      </c>
      <c r="AH111" s="747">
        <v>183400</v>
      </c>
      <c r="AK111" s="747" t="s">
        <v>1253</v>
      </c>
      <c r="AL111" s="747">
        <v>175200</v>
      </c>
      <c r="AO111" s="747" t="s">
        <v>1137</v>
      </c>
      <c r="AP111" s="747"/>
      <c r="AS111" s="747" t="s">
        <v>1138</v>
      </c>
      <c r="AT111" s="747"/>
      <c r="AY111" s="747" t="s">
        <v>1138</v>
      </c>
      <c r="AZ111" s="747"/>
      <c r="BD111" s="747" t="s">
        <v>1138</v>
      </c>
      <c r="BE111" s="747"/>
      <c r="BI111" s="747" t="s">
        <v>1137</v>
      </c>
      <c r="BJ111" s="747">
        <v>58300</v>
      </c>
      <c r="BO111" s="747" t="s">
        <v>1248</v>
      </c>
      <c r="BP111" s="747">
        <v>3619400</v>
      </c>
      <c r="BV111" s="747" t="s">
        <v>1248</v>
      </c>
      <c r="BW111" s="747">
        <v>3707700</v>
      </c>
      <c r="CB111" s="747" t="s">
        <v>1248</v>
      </c>
      <c r="CC111" s="747">
        <v>6804000</v>
      </c>
      <c r="CH111" s="747" t="s">
        <v>1138</v>
      </c>
      <c r="CI111" s="747"/>
      <c r="CM111" s="747" t="s">
        <v>1138</v>
      </c>
      <c r="CN111" s="747"/>
      <c r="CQ111" s="747" t="s">
        <v>1138</v>
      </c>
      <c r="CR111" s="747"/>
      <c r="CU111" s="747" t="s">
        <v>1138</v>
      </c>
      <c r="CV111" s="747"/>
      <c r="CY111" s="747" t="s">
        <v>1138</v>
      </c>
      <c r="CZ111" s="747"/>
      <c r="DC111" s="747" t="s">
        <v>1138</v>
      </c>
      <c r="DD111" s="747"/>
      <c r="DG111" s="747" t="s">
        <v>1138</v>
      </c>
      <c r="DH111" s="747"/>
      <c r="DK111" s="747" t="s">
        <v>1138</v>
      </c>
      <c r="DL111" s="747"/>
      <c r="DO111" s="747" t="s">
        <v>1138</v>
      </c>
      <c r="DP111" s="747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</row>
    <row r="112" spans="2:135">
      <c r="B112" s="803"/>
      <c r="C112" s="803"/>
      <c r="F112" s="747" t="s">
        <v>928</v>
      </c>
      <c r="G112" s="747"/>
      <c r="K112" s="747" t="s">
        <v>928</v>
      </c>
      <c r="L112" s="747"/>
      <c r="P112" s="747" t="s">
        <v>928</v>
      </c>
      <c r="Q112" s="747"/>
      <c r="U112" s="747" t="s">
        <v>928</v>
      </c>
      <c r="V112" s="747"/>
      <c r="Y112" s="747" t="s">
        <v>1249</v>
      </c>
      <c r="Z112" s="747">
        <v>1202000</v>
      </c>
      <c r="AB112"/>
      <c r="AC112" s="747" t="s">
        <v>1249</v>
      </c>
      <c r="AD112" s="747">
        <v>38689100</v>
      </c>
      <c r="AG112" s="747" t="s">
        <v>1248</v>
      </c>
      <c r="AH112" s="747">
        <v>159000</v>
      </c>
      <c r="AK112" s="747" t="s">
        <v>1249</v>
      </c>
      <c r="AL112" s="747">
        <v>31856900</v>
      </c>
      <c r="AO112" s="747" t="s">
        <v>1127</v>
      </c>
      <c r="AP112" s="747"/>
      <c r="AS112" s="747" t="s">
        <v>928</v>
      </c>
      <c r="AT112" s="747"/>
      <c r="AY112" s="747" t="s">
        <v>928</v>
      </c>
      <c r="AZ112" s="747"/>
      <c r="BD112" s="747" t="s">
        <v>928</v>
      </c>
      <c r="BE112" s="747"/>
      <c r="BI112" s="747" t="s">
        <v>1127</v>
      </c>
      <c r="BJ112" s="747">
        <v>74300</v>
      </c>
      <c r="BO112" s="747" t="s">
        <v>1254</v>
      </c>
      <c r="BP112" s="747">
        <v>27700</v>
      </c>
      <c r="BV112" s="747" t="s">
        <v>1254</v>
      </c>
      <c r="BW112" s="747">
        <v>27700</v>
      </c>
      <c r="CB112" s="747" t="s">
        <v>1254</v>
      </c>
      <c r="CC112" s="747">
        <v>31300</v>
      </c>
      <c r="CH112" s="747" t="s">
        <v>928</v>
      </c>
      <c r="CI112" s="747"/>
      <c r="CM112" s="747" t="s">
        <v>928</v>
      </c>
      <c r="CN112" s="747"/>
      <c r="CQ112" s="747" t="s">
        <v>928</v>
      </c>
      <c r="CR112" s="747"/>
      <c r="CU112" s="747" t="s">
        <v>928</v>
      </c>
      <c r="CV112" s="747"/>
      <c r="CY112" s="747" t="s">
        <v>928</v>
      </c>
      <c r="CZ112" s="747"/>
      <c r="DC112" s="747" t="s">
        <v>928</v>
      </c>
      <c r="DD112" s="747"/>
      <c r="DG112" s="747" t="s">
        <v>928</v>
      </c>
      <c r="DH112" s="747"/>
      <c r="DK112" s="747" t="s">
        <v>928</v>
      </c>
      <c r="DL112" s="747"/>
      <c r="DO112" s="747" t="s">
        <v>928</v>
      </c>
      <c r="DP112" s="747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</row>
    <row r="113" spans="2:135">
      <c r="B113" s="803"/>
      <c r="C113" s="803"/>
      <c r="F113" s="747" t="s">
        <v>566</v>
      </c>
      <c r="G113" s="747"/>
      <c r="K113" s="747" t="s">
        <v>566</v>
      </c>
      <c r="L113" s="747"/>
      <c r="P113" s="747" t="s">
        <v>566</v>
      </c>
      <c r="Q113" s="747"/>
      <c r="U113" s="747" t="s">
        <v>566</v>
      </c>
      <c r="V113" s="747"/>
      <c r="Y113" s="747" t="s">
        <v>1248</v>
      </c>
      <c r="Z113" s="747">
        <v>38689100</v>
      </c>
      <c r="AB113"/>
      <c r="AC113" s="747" t="s">
        <v>1251</v>
      </c>
      <c r="AD113" s="747">
        <v>214400</v>
      </c>
      <c r="AG113" s="747" t="s">
        <v>1102</v>
      </c>
      <c r="AH113" s="747">
        <v>678000</v>
      </c>
      <c r="AK113" s="747" t="s">
        <v>1248</v>
      </c>
      <c r="AL113" s="747">
        <v>90000</v>
      </c>
      <c r="AO113" s="747" t="s">
        <v>1138</v>
      </c>
      <c r="AP113" s="747"/>
      <c r="AS113" s="747" t="s">
        <v>566</v>
      </c>
      <c r="AT113" s="747"/>
      <c r="AY113" s="747" t="s">
        <v>566</v>
      </c>
      <c r="AZ113" s="747"/>
      <c r="BD113" s="747" t="s">
        <v>566</v>
      </c>
      <c r="BE113" s="747"/>
      <c r="BI113" s="747" t="s">
        <v>1248</v>
      </c>
      <c r="BJ113" s="747">
        <v>2044500</v>
      </c>
      <c r="BO113" s="747" t="s">
        <v>567</v>
      </c>
      <c r="BP113" s="747">
        <v>9600</v>
      </c>
      <c r="BV113" s="747" t="s">
        <v>567</v>
      </c>
      <c r="BW113" s="747">
        <v>11800</v>
      </c>
      <c r="CB113" s="747" t="s">
        <v>567</v>
      </c>
      <c r="CC113" s="747">
        <v>12100</v>
      </c>
      <c r="CH113" s="747" t="s">
        <v>566</v>
      </c>
      <c r="CI113" s="747"/>
      <c r="CM113" s="747" t="s">
        <v>566</v>
      </c>
      <c r="CN113" s="747"/>
      <c r="CQ113" s="747" t="s">
        <v>566</v>
      </c>
      <c r="CR113" s="747"/>
      <c r="CU113" s="747" t="s">
        <v>566</v>
      </c>
      <c r="CV113" s="747"/>
      <c r="CY113" s="747" t="s">
        <v>566</v>
      </c>
      <c r="CZ113" s="747"/>
      <c r="DC113" s="747" t="s">
        <v>566</v>
      </c>
      <c r="DD113" s="747"/>
      <c r="DG113" s="747" t="s">
        <v>566</v>
      </c>
      <c r="DH113" s="747"/>
      <c r="DK113" s="747" t="s">
        <v>566</v>
      </c>
      <c r="DL113" s="747"/>
      <c r="DO113" s="747" t="s">
        <v>566</v>
      </c>
      <c r="DP113" s="747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</row>
    <row r="114" spans="2:135">
      <c r="B114" s="803"/>
      <c r="C114" s="803"/>
      <c r="F114" s="747" t="s">
        <v>1139</v>
      </c>
      <c r="G114" s="747"/>
      <c r="K114" s="747" t="s">
        <v>1139</v>
      </c>
      <c r="L114" s="747"/>
      <c r="P114" s="747" t="s">
        <v>1139</v>
      </c>
      <c r="Q114" s="747"/>
      <c r="U114" s="747" t="s">
        <v>1139</v>
      </c>
      <c r="V114" s="747"/>
      <c r="Y114" s="747" t="s">
        <v>1102</v>
      </c>
      <c r="Z114" s="747">
        <v>118000</v>
      </c>
      <c r="AB114"/>
      <c r="AC114" s="747" t="s">
        <v>1102</v>
      </c>
      <c r="AD114" s="747">
        <v>103300</v>
      </c>
      <c r="AG114" s="747" t="s">
        <v>1138</v>
      </c>
      <c r="AH114" s="747">
        <v>252400</v>
      </c>
      <c r="AK114" s="747" t="s">
        <v>1102</v>
      </c>
      <c r="AL114" s="747">
        <v>588300</v>
      </c>
      <c r="AO114" s="747" t="s">
        <v>928</v>
      </c>
      <c r="AP114" s="747"/>
      <c r="AS114" s="747" t="s">
        <v>1139</v>
      </c>
      <c r="AT114" s="747"/>
      <c r="AY114" s="747" t="s">
        <v>1139</v>
      </c>
      <c r="AZ114" s="747"/>
      <c r="BD114" s="747" t="s">
        <v>1139</v>
      </c>
      <c r="BE114" s="747"/>
      <c r="BI114" s="747" t="s">
        <v>1254</v>
      </c>
      <c r="BJ114" s="747">
        <v>21100</v>
      </c>
      <c r="BO114" s="747" t="s">
        <v>1138</v>
      </c>
      <c r="BP114" s="747">
        <v>148400</v>
      </c>
      <c r="BV114" s="747" t="s">
        <v>1138</v>
      </c>
      <c r="BW114" s="747">
        <v>155700</v>
      </c>
      <c r="CB114" s="747" t="s">
        <v>1138</v>
      </c>
      <c r="CC114" s="747">
        <v>266500</v>
      </c>
      <c r="CH114" s="747" t="s">
        <v>1139</v>
      </c>
      <c r="CI114" s="747"/>
      <c r="CM114" s="747" t="s">
        <v>1139</v>
      </c>
      <c r="CN114" s="747"/>
      <c r="CQ114" s="747" t="s">
        <v>1139</v>
      </c>
      <c r="CR114" s="747"/>
      <c r="CU114" s="747" t="s">
        <v>1139</v>
      </c>
      <c r="CV114" s="747"/>
      <c r="CY114" s="747" t="s">
        <v>1139</v>
      </c>
      <c r="CZ114" s="747"/>
      <c r="DC114" s="747" t="s">
        <v>1139</v>
      </c>
      <c r="DD114" s="747"/>
      <c r="DG114" s="747" t="s">
        <v>1139</v>
      </c>
      <c r="DH114" s="747"/>
      <c r="DK114" s="747" t="s">
        <v>1139</v>
      </c>
      <c r="DL114" s="747"/>
      <c r="DO114" s="747" t="s">
        <v>1139</v>
      </c>
      <c r="DP114" s="747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</row>
    <row r="115" spans="2:135">
      <c r="B115" s="803"/>
      <c r="C115" s="803"/>
      <c r="F115" s="747"/>
      <c r="G115" s="747"/>
      <c r="K115" s="747"/>
      <c r="L115" s="747"/>
      <c r="P115" s="747"/>
      <c r="Q115" s="747"/>
      <c r="U115" s="747"/>
      <c r="V115" s="747"/>
      <c r="Y115" s="747" t="s">
        <v>1250</v>
      </c>
      <c r="Z115" s="747">
        <v>244700</v>
      </c>
      <c r="AB115"/>
      <c r="AC115" s="747" t="s">
        <v>567</v>
      </c>
      <c r="AD115" s="747">
        <v>784300</v>
      </c>
      <c r="AG115" s="747" t="s">
        <v>928</v>
      </c>
      <c r="AH115" s="747">
        <v>8995400</v>
      </c>
      <c r="AK115" s="747" t="s">
        <v>1138</v>
      </c>
      <c r="AL115" s="747">
        <v>304500</v>
      </c>
      <c r="AO115" s="747" t="s">
        <v>566</v>
      </c>
      <c r="AP115" s="747"/>
      <c r="AS115" s="747"/>
      <c r="AT115" s="747"/>
      <c r="AY115" s="803"/>
      <c r="AZ115" s="747"/>
      <c r="BD115" s="803"/>
      <c r="BE115" s="747"/>
      <c r="BI115" s="747" t="s">
        <v>567</v>
      </c>
      <c r="BJ115" s="747">
        <v>10700</v>
      </c>
      <c r="BO115" s="747" t="s">
        <v>928</v>
      </c>
      <c r="BP115" s="747">
        <v>1191800</v>
      </c>
      <c r="BV115" s="747" t="s">
        <v>928</v>
      </c>
      <c r="BW115" s="747">
        <v>1380600</v>
      </c>
      <c r="CB115" s="747" t="s">
        <v>928</v>
      </c>
      <c r="CC115" s="747">
        <v>2842600</v>
      </c>
      <c r="CH115" s="747"/>
      <c r="CI115" s="747"/>
      <c r="CM115" s="747"/>
      <c r="CN115" s="747"/>
      <c r="CQ115" s="747"/>
      <c r="CR115" s="747"/>
      <c r="CU115" s="747"/>
      <c r="CV115" s="747"/>
      <c r="CY115" s="747"/>
      <c r="CZ115" s="747"/>
      <c r="DC115" s="747"/>
      <c r="DD115" s="747"/>
      <c r="DG115" s="747"/>
      <c r="DH115" s="747"/>
      <c r="DK115" s="747"/>
      <c r="DL115" s="747"/>
      <c r="DO115" s="747"/>
      <c r="DP115" s="747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</row>
    <row r="116" spans="2:135">
      <c r="B116" s="803"/>
      <c r="C116" s="803"/>
      <c r="F116" s="747"/>
      <c r="G116" s="747"/>
      <c r="K116" s="747"/>
      <c r="L116" s="747"/>
      <c r="P116" s="747"/>
      <c r="Q116" s="747"/>
      <c r="U116" s="747"/>
      <c r="V116" s="747"/>
      <c r="Y116" s="747" t="s">
        <v>1138</v>
      </c>
      <c r="Z116" s="747">
        <v>266500</v>
      </c>
      <c r="AB116"/>
      <c r="AC116" s="747" t="s">
        <v>1138</v>
      </c>
      <c r="AD116" s="747">
        <v>266500</v>
      </c>
      <c r="AG116" s="747" t="s">
        <v>1252</v>
      </c>
      <c r="AH116" s="747">
        <v>31857100</v>
      </c>
      <c r="AK116" s="747" t="s">
        <v>928</v>
      </c>
      <c r="AL116" s="747">
        <v>9895700</v>
      </c>
      <c r="AO116" s="747" t="s">
        <v>1139</v>
      </c>
      <c r="AP116" s="747"/>
      <c r="AS116" s="803" t="s">
        <v>1071</v>
      </c>
      <c r="AT116" s="747"/>
      <c r="AY116" s="747"/>
      <c r="AZ116" s="747"/>
      <c r="BD116" s="747"/>
      <c r="BE116" s="747"/>
      <c r="BI116" s="886" t="s">
        <v>1138</v>
      </c>
      <c r="BJ116" s="747">
        <v>45800</v>
      </c>
      <c r="BO116" s="886" t="s">
        <v>566</v>
      </c>
      <c r="BP116" s="747">
        <v>151000</v>
      </c>
      <c r="BV116" s="886" t="s">
        <v>566</v>
      </c>
      <c r="BW116" s="747">
        <v>160500</v>
      </c>
      <c r="CB116" s="803" t="s">
        <v>566</v>
      </c>
      <c r="CC116" s="747">
        <v>318900</v>
      </c>
      <c r="CH116" s="747"/>
      <c r="CI116" s="747"/>
      <c r="CM116" s="747"/>
      <c r="CN116" s="747"/>
      <c r="CQ116" s="747"/>
      <c r="CR116" s="747"/>
      <c r="CU116" s="747"/>
      <c r="CV116" s="747"/>
      <c r="CY116" s="747"/>
      <c r="CZ116" s="747"/>
      <c r="DC116" s="747"/>
      <c r="DD116" s="747"/>
      <c r="DG116" s="747"/>
      <c r="DH116" s="747"/>
      <c r="DK116" s="747"/>
      <c r="DL116" s="747"/>
      <c r="DO116" s="747"/>
      <c r="DP116" s="747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</row>
    <row r="117" spans="2:135">
      <c r="B117" s="803"/>
      <c r="C117" s="803"/>
      <c r="F117" s="747"/>
      <c r="G117" s="747"/>
      <c r="K117" s="747"/>
      <c r="L117" s="747"/>
      <c r="P117" s="747"/>
      <c r="Q117" s="747"/>
      <c r="U117" s="747"/>
      <c r="V117" s="747"/>
      <c r="Y117" s="747" t="s">
        <v>928</v>
      </c>
      <c r="Z117" s="747">
        <v>9919700</v>
      </c>
      <c r="AB117"/>
      <c r="AC117" s="747" t="s">
        <v>928</v>
      </c>
      <c r="AD117" s="747">
        <v>9806100</v>
      </c>
      <c r="AG117" s="747" t="s">
        <v>566</v>
      </c>
      <c r="AH117" s="747">
        <v>0</v>
      </c>
      <c r="AK117" s="747" t="s">
        <v>566</v>
      </c>
      <c r="AL117" s="747">
        <v>0</v>
      </c>
      <c r="AO117" s="747"/>
      <c r="AP117" s="747"/>
      <c r="AS117" s="747"/>
      <c r="AT117" s="747"/>
      <c r="AY117" s="747"/>
      <c r="AZ117" s="747"/>
      <c r="BD117" s="747"/>
      <c r="BE117" s="747"/>
      <c r="BI117" s="747" t="s">
        <v>928</v>
      </c>
      <c r="BJ117" s="887">
        <v>295500</v>
      </c>
      <c r="BO117" s="747" t="s">
        <v>1139</v>
      </c>
      <c r="BP117" s="887">
        <v>406400</v>
      </c>
      <c r="BV117" s="747" t="s">
        <v>1139</v>
      </c>
      <c r="BW117" s="887">
        <v>417100</v>
      </c>
      <c r="CB117" s="747" t="s">
        <v>1139</v>
      </c>
      <c r="CC117" s="48">
        <v>674900</v>
      </c>
      <c r="CH117" s="747"/>
      <c r="CI117" s="747"/>
      <c r="CM117" s="747"/>
      <c r="CN117" s="747"/>
      <c r="CQ117" s="747"/>
      <c r="CR117" s="747"/>
      <c r="CU117" s="747"/>
      <c r="CV117" s="747"/>
      <c r="CY117" s="747"/>
      <c r="CZ117" s="747"/>
      <c r="DC117" s="747"/>
      <c r="DD117" s="747"/>
      <c r="DG117" s="747"/>
      <c r="DH117" s="747"/>
      <c r="DK117" s="747"/>
      <c r="DL117" s="747"/>
      <c r="DO117" s="747"/>
      <c r="DP117" s="74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</row>
    <row r="118" spans="2:135">
      <c r="B118" s="803"/>
      <c r="C118" s="803"/>
      <c r="F118" s="747"/>
      <c r="G118" s="747"/>
      <c r="K118" s="747"/>
      <c r="L118" s="747"/>
      <c r="P118" s="747"/>
      <c r="Q118" s="747"/>
      <c r="U118" s="747"/>
      <c r="V118" s="747"/>
      <c r="Y118" s="747" t="s">
        <v>566</v>
      </c>
      <c r="Z118" s="747">
        <v>0</v>
      </c>
      <c r="AB118"/>
      <c r="AC118" s="747" t="s">
        <v>566</v>
      </c>
      <c r="AD118" s="747">
        <v>0</v>
      </c>
      <c r="AG118" s="747" t="s">
        <v>1139</v>
      </c>
      <c r="AH118" s="747">
        <v>1013200</v>
      </c>
      <c r="AK118" s="747" t="s">
        <v>1139</v>
      </c>
      <c r="AL118" s="747">
        <v>1123300</v>
      </c>
      <c r="AO118" s="747"/>
      <c r="AP118" s="747"/>
      <c r="AS118" s="747"/>
      <c r="AT118" s="747"/>
      <c r="AY118" s="747"/>
      <c r="AZ118" s="747"/>
      <c r="BD118" s="747"/>
      <c r="BE118" s="747"/>
      <c r="BI118" s="747" t="s">
        <v>566</v>
      </c>
      <c r="BJ118" s="887">
        <v>80200</v>
      </c>
      <c r="BO118" s="747"/>
      <c r="BP118" s="887"/>
      <c r="BV118" s="747"/>
      <c r="BW118" s="887"/>
      <c r="CB118" s="747"/>
      <c r="CC118" s="48"/>
      <c r="CH118" s="747"/>
      <c r="CI118" s="747"/>
      <c r="CM118" s="747"/>
      <c r="CN118" s="747"/>
      <c r="CQ118" s="747"/>
      <c r="CR118" s="747"/>
      <c r="CU118" s="747"/>
      <c r="CV118" s="747"/>
      <c r="CY118" s="747"/>
      <c r="CZ118" s="747"/>
      <c r="DC118" s="747"/>
      <c r="DD118" s="747"/>
      <c r="DG118" s="747"/>
      <c r="DH118" s="747"/>
      <c r="DK118" s="747"/>
      <c r="DL118" s="747"/>
      <c r="DO118" s="747"/>
      <c r="DP118" s="747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</row>
    <row r="119" spans="2:135">
      <c r="B119" s="803" t="s">
        <v>865</v>
      </c>
      <c r="C119" s="803">
        <f>SUM(C67:C118)</f>
        <v>562394792.40269768</v>
      </c>
      <c r="F119" s="312" t="s">
        <v>865</v>
      </c>
      <c r="G119" s="312">
        <f>SUM(G67:G118)</f>
        <v>732766906.60053885</v>
      </c>
      <c r="K119" s="312" t="s">
        <v>865</v>
      </c>
      <c r="L119" s="312">
        <f>SUM(L67:L118)</f>
        <v>602597871.11143911</v>
      </c>
      <c r="P119" s="312" t="s">
        <v>865</v>
      </c>
      <c r="Q119" s="312">
        <f>SUM(Q67:Q118)</f>
        <v>550787260.07424557</v>
      </c>
      <c r="U119" s="312" t="s">
        <v>865</v>
      </c>
      <c r="V119" s="312">
        <f>SUM(V67:V118)</f>
        <v>498619216.82420719</v>
      </c>
      <c r="Y119" s="747" t="s">
        <v>1139</v>
      </c>
      <c r="Z119" s="747">
        <v>1082900</v>
      </c>
      <c r="AA119" s="312"/>
      <c r="AB119"/>
      <c r="AC119" s="747" t="s">
        <v>1139</v>
      </c>
      <c r="AD119" s="747">
        <v>1049300</v>
      </c>
      <c r="AG119" s="312" t="s">
        <v>865</v>
      </c>
      <c r="AH119" s="312">
        <f>SUM(AH67:AH118)</f>
        <v>605710221.57178926</v>
      </c>
      <c r="AK119" s="312" t="s">
        <v>865</v>
      </c>
      <c r="AL119" s="312">
        <f>SUM(AL67:AL118)</f>
        <v>552740330.74172473</v>
      </c>
      <c r="AO119" s="312" t="s">
        <v>865</v>
      </c>
      <c r="AP119" s="312">
        <f>SUM(AP67:AP118)</f>
        <v>770456097.05996788</v>
      </c>
      <c r="AS119" s="312" t="s">
        <v>865</v>
      </c>
      <c r="AT119" s="312">
        <f>SUM(AT67:AT118)</f>
        <v>614134993.42082047</v>
      </c>
      <c r="AY119" s="312" t="s">
        <v>865</v>
      </c>
      <c r="AZ119" s="312">
        <f>SUM(AZ67:AZ118)</f>
        <v>545290363.25848532</v>
      </c>
      <c r="BD119" s="312" t="s">
        <v>865</v>
      </c>
      <c r="BE119" s="312">
        <f>SUM(BE67:BE118)</f>
        <v>484943499.41317427</v>
      </c>
      <c r="BI119" s="747" t="s">
        <v>1139</v>
      </c>
      <c r="BJ119" s="747">
        <v>193100</v>
      </c>
      <c r="BO119" s="312" t="s">
        <v>865</v>
      </c>
      <c r="BP119" s="312">
        <f>SUM(BP67:BP118)</f>
        <v>621472893.42082047</v>
      </c>
      <c r="BV119" s="312" t="s">
        <v>865</v>
      </c>
      <c r="BW119" s="312">
        <f>SUM(BW67:BW118)</f>
        <v>553072363.25848532</v>
      </c>
      <c r="CB119" s="312" t="s">
        <v>865</v>
      </c>
      <c r="CC119" s="312">
        <f>SUM(CC67:CC118)</f>
        <v>499025999.41317427</v>
      </c>
      <c r="CH119" s="312" t="s">
        <v>865</v>
      </c>
      <c r="CI119" s="312">
        <f>SUM(CI67:CI118)</f>
        <v>779661965.94952786</v>
      </c>
      <c r="CM119" s="312" t="s">
        <v>865</v>
      </c>
      <c r="CN119" s="312">
        <f>SUM(CN67:CN118)</f>
        <v>671420520.54743612</v>
      </c>
      <c r="CQ119" s="312" t="s">
        <v>865</v>
      </c>
      <c r="CR119" s="312">
        <f>SUM(CR67:CR118)</f>
        <v>731045313.71911836</v>
      </c>
      <c r="CU119" s="312" t="s">
        <v>865</v>
      </c>
      <c r="CV119" s="312">
        <f>SUM(CV67:CV118)</f>
        <v>774412096.17623687</v>
      </c>
      <c r="CY119" s="312" t="s">
        <v>865</v>
      </c>
      <c r="CZ119" s="312">
        <f>SUM(CZ67:CZ118)</f>
        <v>1274335723.7461154</v>
      </c>
      <c r="DC119" s="312" t="s">
        <v>865</v>
      </c>
      <c r="DD119" s="312">
        <f>SUM(DD67:DD118)</f>
        <v>1333217727.9808033</v>
      </c>
      <c r="DG119" s="312" t="s">
        <v>865</v>
      </c>
      <c r="DH119" s="312">
        <f>SUM(DH67:DH118)</f>
        <v>1431356256.8926368</v>
      </c>
      <c r="DK119" s="312" t="s">
        <v>865</v>
      </c>
      <c r="DL119" s="312">
        <f>SUM(DL67:DL118)</f>
        <v>1638277075.3329988</v>
      </c>
      <c r="DO119" s="312" t="s">
        <v>865</v>
      </c>
      <c r="DP119" s="312">
        <f>SUM(DP67:DP118)</f>
        <v>1419238079.8048697</v>
      </c>
      <c r="DS119"/>
      <c r="DT119"/>
      <c r="DU119"/>
      <c r="DV119"/>
      <c r="DW119"/>
      <c r="DX119"/>
      <c r="DY119"/>
      <c r="DZ119"/>
      <c r="EA119"/>
      <c r="EB119"/>
      <c r="EC119"/>
      <c r="ED119"/>
      <c r="EE119"/>
    </row>
    <row r="120" spans="2:135">
      <c r="Y120" s="312" t="s">
        <v>865</v>
      </c>
      <c r="Z120" s="312">
        <f>SUM(Z67:Z119)</f>
        <v>797115112.22903681</v>
      </c>
      <c r="AA120"/>
      <c r="AB120"/>
      <c r="AC120" s="312" t="s">
        <v>865</v>
      </c>
      <c r="AD120" s="312">
        <f>SUM(AD67:AD119)</f>
        <v>665104637.95027149</v>
      </c>
      <c r="BI120" s="747"/>
      <c r="BJ120" s="747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</row>
    <row r="121" spans="2:135">
      <c r="Z121"/>
      <c r="AA121"/>
      <c r="AB121"/>
      <c r="AC121"/>
      <c r="BI121" s="312" t="s">
        <v>865</v>
      </c>
      <c r="BJ121" s="312">
        <f>SUM(BJ67:BJ120)</f>
        <v>773978897.05996788</v>
      </c>
      <c r="DS121"/>
      <c r="DT121"/>
      <c r="DU121"/>
      <c r="DV121"/>
      <c r="DW121"/>
      <c r="DX121"/>
      <c r="DY121"/>
      <c r="DZ121"/>
      <c r="EA121"/>
      <c r="EB121"/>
      <c r="EC121"/>
      <c r="ED121"/>
      <c r="EE121"/>
    </row>
    <row r="122" spans="2:135">
      <c r="F122" s="311"/>
      <c r="K122" s="311"/>
      <c r="P122" s="311"/>
      <c r="AA122"/>
      <c r="AB122"/>
      <c r="AC122"/>
      <c r="CB122" s="288" t="s">
        <v>1212</v>
      </c>
      <c r="CC122" s="288" t="s">
        <v>1213</v>
      </c>
    </row>
    <row r="123" spans="2:135">
      <c r="F123" s="341"/>
      <c r="G123" s="342"/>
      <c r="K123" s="341"/>
      <c r="L123" s="342"/>
      <c r="P123" s="341"/>
      <c r="Q123" s="342"/>
      <c r="AA123"/>
      <c r="AB123"/>
      <c r="AC123"/>
      <c r="AO123" s="288" t="s">
        <v>1212</v>
      </c>
      <c r="AP123" s="288" t="s">
        <v>1213</v>
      </c>
      <c r="AS123" s="288" t="s">
        <v>1212</v>
      </c>
      <c r="AT123" s="288" t="s">
        <v>1213</v>
      </c>
      <c r="AY123" s="288" t="s">
        <v>1212</v>
      </c>
      <c r="AZ123" s="288" t="s">
        <v>1213</v>
      </c>
      <c r="BD123" s="288" t="s">
        <v>1212</v>
      </c>
      <c r="BE123" s="288" t="s">
        <v>1213</v>
      </c>
      <c r="BI123" s="288" t="s">
        <v>1212</v>
      </c>
      <c r="BJ123" s="288" t="s">
        <v>1213</v>
      </c>
      <c r="BO123" s="288" t="s">
        <v>1212</v>
      </c>
      <c r="BP123" s="288" t="s">
        <v>1213</v>
      </c>
      <c r="BV123" s="288" t="s">
        <v>1212</v>
      </c>
      <c r="BW123" s="288" t="s">
        <v>1213</v>
      </c>
      <c r="CB123" s="288">
        <v>1000000</v>
      </c>
      <c r="CC123" s="288">
        <v>60000000</v>
      </c>
    </row>
    <row r="124" spans="2:135">
      <c r="F124" s="342"/>
      <c r="G124" s="341"/>
      <c r="K124" s="342"/>
      <c r="L124" s="341"/>
      <c r="P124" s="342"/>
      <c r="Q124" s="341"/>
      <c r="AA124"/>
      <c r="AB124"/>
      <c r="AC124"/>
      <c r="AO124" s="288">
        <v>1000000</v>
      </c>
      <c r="AP124" s="288">
        <v>60000000</v>
      </c>
      <c r="AS124" s="288">
        <v>1000000</v>
      </c>
      <c r="AT124" s="288">
        <v>60000000</v>
      </c>
      <c r="AY124" s="288">
        <v>1000000</v>
      </c>
      <c r="AZ124" s="288">
        <v>60000000</v>
      </c>
      <c r="BD124" s="288">
        <v>1000000</v>
      </c>
      <c r="BE124" s="288">
        <v>60000000</v>
      </c>
      <c r="BI124" s="288">
        <v>1000000</v>
      </c>
      <c r="BJ124" s="288">
        <v>60000000</v>
      </c>
      <c r="BO124" s="288">
        <v>1000000</v>
      </c>
      <c r="BP124" s="288">
        <v>60000000</v>
      </c>
      <c r="BV124" s="288">
        <v>1000000</v>
      </c>
      <c r="BW124" s="288">
        <v>60000000</v>
      </c>
      <c r="CB124" s="288">
        <v>1292626.85017477</v>
      </c>
      <c r="CC124" s="288">
        <f>(CB124/CB123)^(0.6)*CC123</f>
        <v>69989864.71174857</v>
      </c>
    </row>
    <row r="125" spans="2:135">
      <c r="F125" s="341"/>
      <c r="G125" s="341"/>
      <c r="K125" s="341"/>
      <c r="L125" s="341"/>
      <c r="P125" s="341"/>
      <c r="Q125" s="341"/>
      <c r="AA125"/>
      <c r="AB125"/>
      <c r="AC125"/>
      <c r="AO125" s="288">
        <v>1457369.00822206</v>
      </c>
      <c r="AP125" s="288">
        <f>(AO125/AO124)^(0.6)*AP124</f>
        <v>75213009.808875278</v>
      </c>
      <c r="AS125" s="288">
        <v>1310622.34614392</v>
      </c>
      <c r="AT125" s="288">
        <f>(AS125/AS124)^(0.6)*AT124</f>
        <v>70572871.967084974</v>
      </c>
      <c r="AY125" s="288">
        <v>1184124.37858434</v>
      </c>
      <c r="AZ125" s="288">
        <f>(AY125/AY124)^(0.6)*AZ124</f>
        <v>66403297.107086405</v>
      </c>
      <c r="BD125" s="288">
        <v>1184124.37858434</v>
      </c>
      <c r="BE125" s="288">
        <f>(BD125/BD124)^(0.6)*BE124</f>
        <v>66403297.107086405</v>
      </c>
      <c r="BI125" s="288">
        <v>1549640.4405129999</v>
      </c>
      <c r="BJ125" s="288">
        <f>(BI125/BI124)^(0.6)*BJ124</f>
        <v>78035068.383869484</v>
      </c>
      <c r="BO125" s="288">
        <v>1549640.4405129999</v>
      </c>
      <c r="BP125" s="288">
        <f>(BO125/BO124)^(0.6)*BP124</f>
        <v>78035068.383869484</v>
      </c>
      <c r="BV125" s="288">
        <v>1292626.85017477</v>
      </c>
      <c r="BW125" s="288">
        <f>(BV125/BV124)^(0.6)*BW124</f>
        <v>69989864.71174857</v>
      </c>
    </row>
    <row r="126" spans="2:135" ht="17.25" thickBot="1">
      <c r="F126" s="342"/>
      <c r="G126" s="341"/>
      <c r="K126" s="342"/>
      <c r="L126" s="341"/>
      <c r="P126" s="342"/>
      <c r="Q126" s="341"/>
      <c r="AA126"/>
      <c r="AB126"/>
      <c r="AC126"/>
    </row>
    <row r="127" spans="2:135">
      <c r="F127" s="341"/>
      <c r="G127" s="341"/>
      <c r="K127" s="341"/>
      <c r="L127" s="341"/>
      <c r="P127" s="341"/>
      <c r="Q127" s="341"/>
      <c r="AA127"/>
      <c r="AB127"/>
      <c r="AC127"/>
      <c r="BI127" t="s">
        <v>1214</v>
      </c>
      <c r="BJ127" s="836" t="s">
        <v>1</v>
      </c>
      <c r="BK127" s="170" t="s">
        <v>1215</v>
      </c>
      <c r="BL127" s="170" t="s">
        <v>1216</v>
      </c>
      <c r="BM127">
        <v>143.73257486672401</v>
      </c>
      <c r="BN127" s="837">
        <f>0.0151*BM127^3-19.324*BM127^2+21290*BM127+282264</f>
        <v>2987952.5985238566</v>
      </c>
    </row>
    <row r="128" spans="2:135">
      <c r="F128" s="341"/>
      <c r="G128" s="341"/>
      <c r="K128" s="341"/>
      <c r="L128" s="341"/>
      <c r="P128" s="341"/>
      <c r="Q128" s="341"/>
      <c r="AA128"/>
      <c r="AB128"/>
      <c r="AC128"/>
      <c r="BI128" t="s">
        <v>1217</v>
      </c>
      <c r="BJ128">
        <v>165.34669663865901</v>
      </c>
      <c r="BK128" t="s">
        <v>1218</v>
      </c>
      <c r="BL128" t="s">
        <v>1219</v>
      </c>
      <c r="BM128">
        <v>1200</v>
      </c>
      <c r="BN128">
        <f>8766341*(BM128/BJ128)^(0.6)</f>
        <v>28793190.73174914</v>
      </c>
    </row>
    <row r="129" spans="6:66">
      <c r="F129" s="342"/>
      <c r="G129" s="341"/>
      <c r="K129" s="342"/>
      <c r="L129" s="341"/>
      <c r="P129" s="342"/>
      <c r="Q129" s="341"/>
      <c r="AA129"/>
      <c r="AB129"/>
      <c r="AC129"/>
      <c r="BI129" t="s">
        <v>1220</v>
      </c>
      <c r="BJ129">
        <v>500</v>
      </c>
      <c r="BK129" t="s">
        <v>1218</v>
      </c>
      <c r="BL129" t="s">
        <v>1221</v>
      </c>
      <c r="BM129">
        <v>1200</v>
      </c>
      <c r="BN129" s="48">
        <f>982510.7*(BM129/BJ129)^(0.6)</f>
        <v>1661361.0859432886</v>
      </c>
    </row>
    <row r="130" spans="6:66">
      <c r="F130" s="341"/>
      <c r="G130" s="341"/>
      <c r="K130" s="341"/>
      <c r="L130" s="341"/>
      <c r="P130" s="341"/>
      <c r="Q130" s="341"/>
      <c r="AA130"/>
      <c r="AB130"/>
      <c r="AC130"/>
    </row>
    <row r="131" spans="6:66">
      <c r="F131" s="341"/>
      <c r="G131" s="341"/>
      <c r="K131" s="341"/>
      <c r="L131" s="341"/>
      <c r="P131" s="341"/>
      <c r="Q131" s="341"/>
      <c r="AA131"/>
      <c r="AB131"/>
      <c r="AC131"/>
    </row>
    <row r="132" spans="6:66">
      <c r="F132" s="341"/>
      <c r="G132" s="341"/>
      <c r="K132" s="341"/>
      <c r="L132" s="341"/>
      <c r="P132" s="341"/>
      <c r="Q132" s="341"/>
      <c r="AA132"/>
      <c r="AB132"/>
      <c r="AC132"/>
    </row>
    <row r="133" spans="6:66">
      <c r="F133" s="341"/>
      <c r="G133" s="341"/>
      <c r="K133" s="341"/>
      <c r="L133" s="341"/>
      <c r="P133" s="341"/>
      <c r="Q133" s="341"/>
      <c r="AA133"/>
      <c r="AB133"/>
      <c r="AC133"/>
    </row>
    <row r="134" spans="6:66">
      <c r="F134" s="341"/>
      <c r="G134" s="341"/>
      <c r="K134" s="341"/>
      <c r="L134" s="341"/>
      <c r="P134" s="341"/>
      <c r="Q134" s="341"/>
      <c r="AA134"/>
      <c r="AB134"/>
      <c r="AC134"/>
    </row>
    <row r="135" spans="6:66">
      <c r="F135" s="342"/>
      <c r="G135" s="341"/>
      <c r="K135" s="342"/>
      <c r="L135" s="341"/>
      <c r="P135" s="342"/>
      <c r="Q135" s="341"/>
      <c r="AA135"/>
      <c r="AB135"/>
      <c r="AC135"/>
    </row>
    <row r="136" spans="6:66">
      <c r="F136" s="341"/>
      <c r="G136" s="341"/>
      <c r="K136" s="341"/>
      <c r="L136" s="341"/>
      <c r="P136" s="341"/>
      <c r="Q136" s="341"/>
      <c r="AA136"/>
      <c r="AB136"/>
      <c r="AC136"/>
    </row>
    <row r="137" spans="6:66">
      <c r="F137" s="341"/>
      <c r="G137" s="341"/>
      <c r="K137" s="341"/>
      <c r="L137" s="341"/>
      <c r="P137" s="341"/>
      <c r="Q137" s="341"/>
      <c r="AA137"/>
      <c r="AB137"/>
      <c r="AC137"/>
    </row>
    <row r="138" spans="6:66">
      <c r="F138" s="341"/>
      <c r="G138" s="341"/>
      <c r="K138" s="341"/>
      <c r="L138" s="341"/>
      <c r="P138" s="341"/>
      <c r="Q138" s="341"/>
      <c r="AA138"/>
      <c r="AB138"/>
      <c r="AC138"/>
    </row>
    <row r="139" spans="6:66">
      <c r="F139" s="342"/>
      <c r="G139" s="341"/>
      <c r="K139" s="342"/>
      <c r="L139" s="341"/>
      <c r="P139" s="342"/>
      <c r="Q139" s="341"/>
      <c r="AA139"/>
      <c r="AB139"/>
      <c r="AC139"/>
    </row>
    <row r="140" spans="6:66">
      <c r="F140" s="341"/>
      <c r="G140" s="341"/>
      <c r="K140" s="341"/>
      <c r="L140" s="341"/>
      <c r="P140" s="341"/>
      <c r="Q140" s="341"/>
      <c r="AA140"/>
      <c r="AB140"/>
      <c r="AC140"/>
    </row>
    <row r="141" spans="6:66">
      <c r="F141" s="341"/>
      <c r="G141" s="341"/>
      <c r="K141" s="341"/>
      <c r="L141" s="341"/>
      <c r="P141" s="341"/>
      <c r="Q141" s="341"/>
      <c r="AA141"/>
      <c r="AB141"/>
      <c r="AC141"/>
    </row>
    <row r="142" spans="6:66">
      <c r="F142" s="341"/>
      <c r="G142" s="341"/>
      <c r="K142" s="341"/>
      <c r="L142" s="341"/>
      <c r="P142" s="341"/>
      <c r="Q142" s="341"/>
      <c r="AA142"/>
      <c r="AB142"/>
      <c r="AC142"/>
    </row>
    <row r="143" spans="6:66">
      <c r="F143" s="341"/>
      <c r="G143" s="341"/>
      <c r="K143" s="341"/>
      <c r="L143" s="341"/>
      <c r="P143" s="341"/>
      <c r="Q143" s="341"/>
      <c r="AA143"/>
      <c r="AB143"/>
      <c r="AC143"/>
    </row>
    <row r="144" spans="6:66">
      <c r="F144" s="341"/>
      <c r="G144" s="341"/>
      <c r="K144" s="341"/>
      <c r="L144" s="341"/>
      <c r="P144" s="341"/>
      <c r="Q144" s="341"/>
      <c r="AA144"/>
      <c r="AB144"/>
      <c r="AC144"/>
    </row>
    <row r="145" spans="6:29">
      <c r="F145" s="341"/>
      <c r="G145" s="341"/>
      <c r="K145" s="341"/>
      <c r="L145" s="341"/>
      <c r="P145" s="341"/>
      <c r="Q145" s="341"/>
      <c r="AA145"/>
      <c r="AB145"/>
      <c r="AC145"/>
    </row>
    <row r="146" spans="6:29">
      <c r="F146" s="341"/>
      <c r="G146" s="341"/>
      <c r="K146" s="341"/>
      <c r="L146" s="341"/>
      <c r="P146" s="341"/>
      <c r="Q146" s="341"/>
      <c r="AA146"/>
      <c r="AB146"/>
      <c r="AC146"/>
    </row>
    <row r="147" spans="6:29">
      <c r="F147" s="341"/>
      <c r="G147" s="341"/>
      <c r="K147" s="341"/>
      <c r="L147" s="341"/>
      <c r="P147" s="341"/>
      <c r="Q147" s="341"/>
      <c r="AA147"/>
      <c r="AB147"/>
      <c r="AC147"/>
    </row>
    <row r="148" spans="6:29">
      <c r="F148" s="342"/>
      <c r="G148" s="341"/>
      <c r="K148" s="342"/>
      <c r="L148" s="341"/>
      <c r="P148" s="342"/>
      <c r="Q148" s="341"/>
      <c r="AA148"/>
      <c r="AB148"/>
      <c r="AC148"/>
    </row>
    <row r="149" spans="6:29">
      <c r="F149" s="341"/>
      <c r="G149" s="834"/>
      <c r="K149" s="341"/>
      <c r="L149" s="834"/>
      <c r="P149" s="341"/>
      <c r="Q149" s="834"/>
      <c r="AA149"/>
      <c r="AB149"/>
      <c r="AC149"/>
    </row>
    <row r="150" spans="6:29">
      <c r="F150" s="341"/>
      <c r="G150" s="834"/>
      <c r="K150" s="341"/>
      <c r="L150" s="834"/>
      <c r="P150" s="341"/>
      <c r="Q150" s="834"/>
      <c r="AA150"/>
      <c r="AB150"/>
      <c r="AC150"/>
    </row>
    <row r="151" spans="6:29">
      <c r="F151" s="341"/>
      <c r="G151" s="835"/>
      <c r="K151" s="341"/>
      <c r="L151" s="835"/>
      <c r="P151" s="341"/>
      <c r="Q151" s="835"/>
      <c r="AA151"/>
      <c r="AB151"/>
      <c r="AC151"/>
    </row>
    <row r="152" spans="6:29">
      <c r="F152" s="342"/>
      <c r="G152" s="341"/>
      <c r="K152" s="342"/>
      <c r="L152" s="341"/>
      <c r="P152" s="342"/>
      <c r="Q152" s="341"/>
      <c r="AA152"/>
      <c r="AB152"/>
      <c r="AC152"/>
    </row>
    <row r="153" spans="6:29">
      <c r="F153" s="341"/>
      <c r="G153" s="341"/>
      <c r="K153" s="341"/>
      <c r="L153" s="341"/>
      <c r="P153" s="341"/>
      <c r="Q153" s="341"/>
      <c r="AA153"/>
      <c r="AB153"/>
      <c r="AC153"/>
    </row>
    <row r="154" spans="6:29">
      <c r="F154" s="341"/>
      <c r="G154" s="341"/>
      <c r="K154" s="341"/>
      <c r="L154" s="341"/>
      <c r="P154" s="341"/>
      <c r="Q154" s="341"/>
      <c r="AA154"/>
      <c r="AB154"/>
      <c r="AC154"/>
    </row>
    <row r="155" spans="6:29">
      <c r="F155" s="748"/>
      <c r="G155" s="747"/>
      <c r="K155" s="748"/>
      <c r="L155" s="747"/>
      <c r="P155" s="748"/>
      <c r="Q155" s="747"/>
      <c r="AA155"/>
      <c r="AB155"/>
      <c r="AC155"/>
    </row>
    <row r="156" spans="6:29">
      <c r="F156" s="747"/>
      <c r="G156" s="747"/>
      <c r="K156" s="747"/>
      <c r="L156" s="747"/>
      <c r="P156" s="747"/>
      <c r="Q156" s="747"/>
      <c r="AA156"/>
      <c r="AB156"/>
      <c r="AC156"/>
    </row>
    <row r="157" spans="6:29">
      <c r="F157" s="747"/>
      <c r="G157" s="747"/>
      <c r="K157" s="747"/>
      <c r="L157" s="747"/>
      <c r="P157" s="747"/>
      <c r="Q157" s="747"/>
      <c r="AA157"/>
      <c r="AB157"/>
      <c r="AC157"/>
    </row>
    <row r="158" spans="6:29">
      <c r="F158" s="747"/>
      <c r="G158" s="747"/>
      <c r="K158" s="747"/>
      <c r="L158" s="747"/>
      <c r="P158" s="747"/>
      <c r="Q158" s="747"/>
      <c r="AA158"/>
      <c r="AB158"/>
      <c r="AC158"/>
    </row>
    <row r="159" spans="6:29">
      <c r="F159" s="747"/>
      <c r="G159" s="747"/>
      <c r="K159" s="747"/>
      <c r="L159" s="747"/>
      <c r="P159" s="747"/>
      <c r="Q159" s="747"/>
      <c r="AA159"/>
      <c r="AB159"/>
      <c r="AC159"/>
    </row>
    <row r="160" spans="6:29">
      <c r="F160" s="747"/>
      <c r="G160" s="747"/>
      <c r="K160" s="747"/>
      <c r="L160" s="747"/>
      <c r="P160" s="747"/>
      <c r="Q160" s="747"/>
      <c r="AA160"/>
      <c r="AB160"/>
      <c r="AC160"/>
    </row>
    <row r="161" spans="6:29">
      <c r="F161" s="747"/>
      <c r="G161" s="747"/>
      <c r="K161" s="747"/>
      <c r="L161" s="747"/>
      <c r="P161" s="747"/>
      <c r="Q161" s="747"/>
      <c r="AA161"/>
      <c r="AB161"/>
      <c r="AC161"/>
    </row>
    <row r="162" spans="6:29">
      <c r="F162" s="747"/>
      <c r="G162" s="747"/>
      <c r="K162" s="747"/>
      <c r="L162" s="747"/>
      <c r="P162" s="747"/>
      <c r="Q162" s="747"/>
      <c r="AA162"/>
      <c r="AB162"/>
      <c r="AC162"/>
    </row>
    <row r="163" spans="6:29">
      <c r="F163" s="747"/>
      <c r="G163" s="747"/>
      <c r="K163" s="747"/>
      <c r="L163" s="747"/>
      <c r="P163" s="747"/>
      <c r="Q163" s="747"/>
      <c r="AA163"/>
      <c r="AB163"/>
      <c r="AC163"/>
    </row>
    <row r="164" spans="6:29">
      <c r="F164" s="747"/>
      <c r="G164" s="747"/>
      <c r="K164" s="747"/>
      <c r="L164" s="747"/>
      <c r="P164" s="747"/>
      <c r="Q164" s="747"/>
      <c r="AA164"/>
      <c r="AB164"/>
      <c r="AC164"/>
    </row>
    <row r="165" spans="6:29">
      <c r="F165" s="747"/>
      <c r="G165" s="747"/>
      <c r="K165" s="747"/>
      <c r="L165" s="747"/>
      <c r="P165" s="747"/>
      <c r="Q165" s="747"/>
      <c r="AA165"/>
      <c r="AB165"/>
      <c r="AC165"/>
    </row>
    <row r="166" spans="6:29">
      <c r="F166" s="747"/>
      <c r="G166" s="747"/>
      <c r="K166" s="747"/>
      <c r="L166" s="747"/>
      <c r="P166" s="747"/>
      <c r="Q166" s="747"/>
      <c r="AA166"/>
      <c r="AB166"/>
      <c r="AC166"/>
    </row>
    <row r="167" spans="6:29">
      <c r="F167" s="747"/>
      <c r="G167" s="747"/>
      <c r="K167" s="747"/>
      <c r="L167" s="747"/>
      <c r="P167" s="747"/>
      <c r="Q167" s="747"/>
      <c r="AA167"/>
      <c r="AB167"/>
      <c r="AC167"/>
    </row>
    <row r="168" spans="6:29">
      <c r="F168" s="747"/>
      <c r="G168" s="747"/>
      <c r="K168" s="747"/>
      <c r="L168" s="747"/>
      <c r="P168" s="747"/>
      <c r="Q168" s="747"/>
      <c r="AA168"/>
      <c r="AB168"/>
      <c r="AC168"/>
    </row>
    <row r="169" spans="6:29">
      <c r="F169" s="747"/>
      <c r="G169" s="747"/>
      <c r="K169" s="747"/>
      <c r="L169" s="747"/>
      <c r="P169" s="747"/>
      <c r="Q169" s="747"/>
      <c r="AA169"/>
      <c r="AB169"/>
      <c r="AC169"/>
    </row>
    <row r="170" spans="6:29">
      <c r="F170" s="747"/>
      <c r="G170" s="747"/>
      <c r="K170" s="747"/>
      <c r="L170" s="747"/>
      <c r="P170" s="747"/>
      <c r="Q170" s="747"/>
      <c r="AA170"/>
      <c r="AB170"/>
      <c r="AC170"/>
    </row>
    <row r="171" spans="6:29">
      <c r="F171" s="747"/>
      <c r="G171" s="747"/>
      <c r="K171" s="747"/>
      <c r="L171" s="747"/>
      <c r="P171" s="747"/>
      <c r="Q171" s="747"/>
      <c r="AA171"/>
      <c r="AB171"/>
      <c r="AC171"/>
    </row>
    <row r="172" spans="6:29">
      <c r="F172" s="747"/>
      <c r="G172" s="747"/>
      <c r="K172" s="747"/>
      <c r="L172" s="747"/>
      <c r="P172" s="747"/>
      <c r="Q172" s="747"/>
      <c r="Z172"/>
      <c r="AA172"/>
      <c r="AB172"/>
      <c r="AC172"/>
    </row>
    <row r="173" spans="6:29">
      <c r="F173" s="747"/>
      <c r="G173" s="747"/>
      <c r="K173" s="747"/>
      <c r="L173" s="747"/>
      <c r="P173" s="747"/>
      <c r="Q173" s="747"/>
      <c r="Z173"/>
      <c r="AA173"/>
      <c r="AB173"/>
      <c r="AC173"/>
    </row>
    <row r="174" spans="6:29">
      <c r="F174" s="747"/>
      <c r="G174" s="747"/>
      <c r="K174" s="747"/>
      <c r="L174" s="747"/>
      <c r="P174" s="747"/>
      <c r="Q174" s="747"/>
      <c r="Z174"/>
      <c r="AA174"/>
      <c r="AB174"/>
      <c r="AC174"/>
    </row>
    <row r="175" spans="6:29">
      <c r="F175" s="747"/>
      <c r="G175" s="747"/>
      <c r="K175" s="747"/>
      <c r="L175" s="747"/>
      <c r="P175" s="747"/>
      <c r="Q175" s="747"/>
      <c r="Z175"/>
      <c r="AA175"/>
      <c r="AB175"/>
      <c r="AC175"/>
    </row>
    <row r="176" spans="6:29">
      <c r="F176" s="312"/>
      <c r="G176" s="312"/>
      <c r="K176" s="312"/>
      <c r="L176" s="312"/>
      <c r="P176" s="312"/>
      <c r="Q176" s="312"/>
      <c r="Z176"/>
      <c r="AA176"/>
      <c r="AB176"/>
      <c r="AC176"/>
    </row>
    <row r="177" spans="6:29">
      <c r="L177"/>
      <c r="M177" s="48"/>
      <c r="U177" s="526"/>
      <c r="Z177"/>
      <c r="AA177"/>
      <c r="AB177"/>
      <c r="AC177"/>
    </row>
    <row r="178" spans="6:29">
      <c r="L178"/>
      <c r="M178"/>
      <c r="P178" s="526"/>
      <c r="Q178" s="526"/>
      <c r="T178" s="527"/>
      <c r="U178" s="528"/>
      <c r="Z178"/>
      <c r="AA178"/>
      <c r="AB178"/>
      <c r="AC178"/>
    </row>
    <row r="179" spans="6:29">
      <c r="P179" s="526"/>
      <c r="Q179" s="526"/>
      <c r="T179" s="530"/>
      <c r="U179" s="528"/>
      <c r="Z179"/>
      <c r="AA179"/>
      <c r="AB179"/>
      <c r="AC179"/>
    </row>
    <row r="180" spans="6:29">
      <c r="P180" s="526"/>
      <c r="Q180" s="526"/>
      <c r="T180" s="530"/>
      <c r="U180" s="528"/>
      <c r="Z180"/>
      <c r="AA180"/>
      <c r="AB180"/>
      <c r="AC180"/>
    </row>
    <row r="181" spans="6:29">
      <c r="P181" s="526"/>
      <c r="Q181" s="526"/>
      <c r="T181" s="530"/>
      <c r="U181" s="528"/>
      <c r="Z181"/>
      <c r="AA181"/>
      <c r="AB181"/>
      <c r="AC181"/>
    </row>
    <row r="182" spans="6:29">
      <c r="P182" s="526"/>
      <c r="Q182" s="526"/>
      <c r="T182" s="530"/>
      <c r="U182"/>
      <c r="V182"/>
      <c r="W182"/>
      <c r="X182"/>
      <c r="Z182"/>
      <c r="AA182"/>
      <c r="AB182"/>
      <c r="AC182"/>
    </row>
    <row r="183" spans="6:29">
      <c r="P183" s="526"/>
      <c r="Q183" s="526"/>
      <c r="T183" s="530"/>
      <c r="U183"/>
      <c r="V183"/>
      <c r="W183"/>
      <c r="X183"/>
      <c r="Z183"/>
      <c r="AA183"/>
      <c r="AB183"/>
      <c r="AC183"/>
    </row>
    <row r="184" spans="6:29">
      <c r="P184" s="526"/>
      <c r="Q184" s="526"/>
      <c r="T184" s="530"/>
      <c r="U184"/>
      <c r="V184"/>
      <c r="W184"/>
      <c r="X184"/>
      <c r="Z184"/>
      <c r="AA184"/>
      <c r="AB184"/>
      <c r="AC184"/>
    </row>
    <row r="185" spans="6:29">
      <c r="P185" s="526"/>
      <c r="Q185" s="526"/>
      <c r="T185" s="530"/>
      <c r="U185"/>
      <c r="V185"/>
      <c r="W185"/>
      <c r="X185"/>
      <c r="Z185"/>
      <c r="AA185"/>
      <c r="AB185"/>
      <c r="AC185"/>
    </row>
    <row r="186" spans="6:29">
      <c r="P186" s="526"/>
      <c r="Q186" s="526"/>
      <c r="T186" s="530"/>
      <c r="U186"/>
      <c r="V186"/>
      <c r="W186"/>
      <c r="X186"/>
      <c r="Z186"/>
      <c r="AA186"/>
      <c r="AB186"/>
      <c r="AC186"/>
    </row>
    <row r="187" spans="6:29">
      <c r="P187" s="526"/>
      <c r="Q187" s="526"/>
      <c r="T187" s="530"/>
      <c r="U187"/>
      <c r="V187"/>
      <c r="W187"/>
      <c r="X187"/>
      <c r="Z187"/>
      <c r="AA187"/>
      <c r="AB187"/>
      <c r="AC187"/>
    </row>
    <row r="188" spans="6:29">
      <c r="P188" s="526"/>
      <c r="Q188" s="526"/>
      <c r="T188" s="530"/>
      <c r="U188"/>
      <c r="V188"/>
      <c r="W188"/>
      <c r="X188"/>
      <c r="Z188"/>
      <c r="AA188"/>
      <c r="AB188"/>
      <c r="AC188"/>
    </row>
    <row r="189" spans="6:29">
      <c r="U189"/>
      <c r="V189"/>
      <c r="W189"/>
      <c r="X189"/>
      <c r="Z189"/>
      <c r="AA189"/>
      <c r="AB189"/>
      <c r="AC189"/>
    </row>
    <row r="190" spans="6:29" ht="31.5">
      <c r="F190" s="838" t="s">
        <v>1222</v>
      </c>
      <c r="U190"/>
      <c r="V190"/>
      <c r="W190"/>
      <c r="X190"/>
      <c r="Z190"/>
      <c r="AA190"/>
      <c r="AB190"/>
      <c r="AC190"/>
    </row>
    <row r="191" spans="6:29">
      <c r="U191"/>
      <c r="V191"/>
      <c r="W191"/>
      <c r="X191"/>
      <c r="Z191"/>
      <c r="AA191"/>
      <c r="AB191"/>
      <c r="AC191"/>
    </row>
    <row r="192" spans="6:29">
      <c r="U192"/>
      <c r="V192"/>
      <c r="W192"/>
      <c r="X192"/>
      <c r="Z192"/>
      <c r="AA192"/>
      <c r="AB192"/>
      <c r="AC192"/>
    </row>
    <row r="193" spans="2:122">
      <c r="F193" s="341" t="s">
        <v>793</v>
      </c>
      <c r="G193" s="341">
        <v>61512900</v>
      </c>
      <c r="H193" s="288">
        <v>108141.026</v>
      </c>
      <c r="I193" s="288" t="s">
        <v>657</v>
      </c>
      <c r="K193" s="341" t="s">
        <v>793</v>
      </c>
      <c r="L193" s="341">
        <v>61512900</v>
      </c>
      <c r="M193" s="288">
        <v>108141.026</v>
      </c>
      <c r="N193" s="288" t="s">
        <v>657</v>
      </c>
      <c r="P193" s="341" t="s">
        <v>793</v>
      </c>
      <c r="Q193" s="341">
        <v>61512900</v>
      </c>
      <c r="R193" s="288">
        <v>108141.026</v>
      </c>
      <c r="S193" s="288" t="s">
        <v>657</v>
      </c>
      <c r="U193" s="341" t="s">
        <v>793</v>
      </c>
      <c r="V193" s="341">
        <v>61512900</v>
      </c>
      <c r="W193" s="288">
        <v>108141.026</v>
      </c>
      <c r="X193" s="288" t="s">
        <v>657</v>
      </c>
      <c r="Y193" s="341" t="s">
        <v>793</v>
      </c>
      <c r="Z193" s="341">
        <v>61512900</v>
      </c>
      <c r="AA193" s="288">
        <v>108141.026</v>
      </c>
      <c r="AB193" s="288" t="s">
        <v>657</v>
      </c>
      <c r="AC193" s="341" t="s">
        <v>793</v>
      </c>
      <c r="AD193" s="341">
        <v>61512900</v>
      </c>
      <c r="AE193" s="288">
        <v>108141.026</v>
      </c>
      <c r="AF193" s="288" t="s">
        <v>657</v>
      </c>
      <c r="AG193" s="341" t="s">
        <v>793</v>
      </c>
      <c r="AH193" s="341">
        <v>61512900</v>
      </c>
      <c r="AI193" s="288">
        <v>108141.026</v>
      </c>
      <c r="AJ193" s="288" t="s">
        <v>657</v>
      </c>
      <c r="AK193" s="341" t="s">
        <v>793</v>
      </c>
      <c r="AL193" s="341">
        <v>61512900</v>
      </c>
      <c r="AM193" s="288">
        <v>108141.026</v>
      </c>
      <c r="AN193" s="288" t="s">
        <v>657</v>
      </c>
      <c r="AO193" s="341" t="s">
        <v>793</v>
      </c>
      <c r="AP193" s="341">
        <v>61512900</v>
      </c>
      <c r="AQ193" s="288">
        <v>108141.026</v>
      </c>
      <c r="AR193" s="288" t="s">
        <v>657</v>
      </c>
      <c r="AS193" s="341" t="s">
        <v>793</v>
      </c>
      <c r="AT193" s="341">
        <v>61512900</v>
      </c>
      <c r="AU193" s="288">
        <v>108141.026</v>
      </c>
      <c r="AV193" s="288" t="s">
        <v>657</v>
      </c>
      <c r="AY193" s="341" t="s">
        <v>793</v>
      </c>
      <c r="AZ193" s="341">
        <v>61512900</v>
      </c>
      <c r="BA193" s="288">
        <v>108141.026</v>
      </c>
      <c r="BB193" s="288" t="s">
        <v>657</v>
      </c>
      <c r="BD193" s="341" t="s">
        <v>793</v>
      </c>
      <c r="BE193" s="341">
        <v>61512900</v>
      </c>
      <c r="BF193" s="288">
        <v>108141.026</v>
      </c>
      <c r="BG193" s="288" t="s">
        <v>657</v>
      </c>
      <c r="BI193" s="341" t="s">
        <v>793</v>
      </c>
      <c r="BJ193" s="341">
        <v>61512900</v>
      </c>
      <c r="BK193" s="288">
        <v>108141.026</v>
      </c>
      <c r="BL193" s="288" t="s">
        <v>657</v>
      </c>
      <c r="BO193" s="341" t="s">
        <v>793</v>
      </c>
      <c r="BP193" s="341">
        <v>61512900</v>
      </c>
      <c r="BQ193" s="288">
        <v>108141.026</v>
      </c>
      <c r="BR193" s="288" t="s">
        <v>657</v>
      </c>
      <c r="BV193" s="341" t="s">
        <v>793</v>
      </c>
      <c r="BW193" s="341">
        <v>61512900</v>
      </c>
      <c r="BX193" s="288">
        <v>108141.026</v>
      </c>
      <c r="BY193" s="288" t="s">
        <v>657</v>
      </c>
      <c r="CB193" s="341" t="s">
        <v>793</v>
      </c>
      <c r="CC193" s="341">
        <v>61512900</v>
      </c>
      <c r="CD193" s="288">
        <v>108141.026</v>
      </c>
      <c r="CE193" s="288" t="s">
        <v>657</v>
      </c>
      <c r="CH193" s="341" t="s">
        <v>793</v>
      </c>
      <c r="CI193" s="341">
        <v>61512900</v>
      </c>
      <c r="CJ193" s="288">
        <v>108141.026</v>
      </c>
      <c r="CK193" s="288" t="s">
        <v>657</v>
      </c>
      <c r="CM193" s="341" t="s">
        <v>793</v>
      </c>
      <c r="CN193" s="341">
        <v>61512900</v>
      </c>
      <c r="CO193" s="288">
        <v>108141.026</v>
      </c>
      <c r="CP193" s="288" t="s">
        <v>657</v>
      </c>
      <c r="CQ193" s="341" t="s">
        <v>793</v>
      </c>
      <c r="CR193" s="341">
        <v>61512900</v>
      </c>
      <c r="CS193" s="288">
        <v>108141.026</v>
      </c>
      <c r="CT193" s="288" t="s">
        <v>657</v>
      </c>
      <c r="CU193" s="341" t="s">
        <v>793</v>
      </c>
      <c r="CV193" s="341">
        <v>61512900</v>
      </c>
      <c r="CW193" s="288">
        <v>108141.026</v>
      </c>
      <c r="CX193" s="288" t="s">
        <v>657</v>
      </c>
      <c r="CY193" s="341" t="s">
        <v>793</v>
      </c>
      <c r="CZ193" s="341">
        <v>61512900</v>
      </c>
      <c r="DA193" s="288">
        <v>108141.026</v>
      </c>
      <c r="DB193" s="288" t="s">
        <v>657</v>
      </c>
      <c r="DC193" s="341" t="s">
        <v>793</v>
      </c>
      <c r="DD193" s="341">
        <v>61512900</v>
      </c>
      <c r="DE193" s="288">
        <v>108141.026</v>
      </c>
      <c r="DF193" s="288" t="s">
        <v>657</v>
      </c>
      <c r="DG193" s="341" t="s">
        <v>793</v>
      </c>
      <c r="DH193" s="341">
        <v>61512900</v>
      </c>
      <c r="DI193" s="288">
        <v>108141.026</v>
      </c>
      <c r="DJ193" s="288" t="s">
        <v>657</v>
      </c>
      <c r="DK193" s="341" t="s">
        <v>793</v>
      </c>
      <c r="DL193" s="341">
        <v>61512900</v>
      </c>
      <c r="DM193" s="288">
        <v>108141.026</v>
      </c>
      <c r="DN193" s="288" t="s">
        <v>657</v>
      </c>
      <c r="DO193" s="341" t="s">
        <v>793</v>
      </c>
      <c r="DP193" s="341">
        <v>61512900</v>
      </c>
      <c r="DQ193" s="288">
        <v>108141.026</v>
      </c>
      <c r="DR193" s="288" t="s">
        <v>657</v>
      </c>
    </row>
    <row r="194" spans="2:122">
      <c r="Z194"/>
      <c r="AA194"/>
      <c r="AB194"/>
      <c r="AC194"/>
    </row>
    <row r="195" spans="2:122">
      <c r="B195" s="341" t="s">
        <v>1114</v>
      </c>
      <c r="Z195"/>
      <c r="AA195"/>
      <c r="AB195"/>
      <c r="AC195"/>
    </row>
    <row r="196" spans="2:122">
      <c r="B196" s="341">
        <f>(3438/3*1.7/5.04)*10^6*1.2</f>
        <v>463857142.85714287</v>
      </c>
      <c r="Z196"/>
      <c r="AA196"/>
      <c r="AB196"/>
      <c r="AC196"/>
    </row>
    <row r="197" spans="2:122">
      <c r="F197" s="311" t="s">
        <v>833</v>
      </c>
      <c r="K197" s="311" t="s">
        <v>836</v>
      </c>
      <c r="P197" s="311" t="s">
        <v>837</v>
      </c>
      <c r="U197" s="311" t="s">
        <v>1031</v>
      </c>
      <c r="Y197" s="311" t="s">
        <v>1223</v>
      </c>
      <c r="AB197"/>
      <c r="AC197" s="311" t="s">
        <v>1224</v>
      </c>
      <c r="AG197" s="311" t="s">
        <v>1225</v>
      </c>
      <c r="AK197" s="311" t="s">
        <v>1226</v>
      </c>
      <c r="AO197" s="311" t="s">
        <v>1227</v>
      </c>
      <c r="AS197" s="311" t="s">
        <v>1228</v>
      </c>
      <c r="AY197" s="311" t="s">
        <v>1229</v>
      </c>
      <c r="BD197" s="311" t="s">
        <v>1230</v>
      </c>
      <c r="BI197" s="311" t="s">
        <v>1231</v>
      </c>
      <c r="BO197" s="311" t="s">
        <v>1232</v>
      </c>
      <c r="BV197" s="311" t="s">
        <v>1233</v>
      </c>
      <c r="CB197" s="311" t="s">
        <v>1234</v>
      </c>
      <c r="CH197" s="311" t="s">
        <v>1193</v>
      </c>
      <c r="CM197" s="311" t="s">
        <v>1194</v>
      </c>
      <c r="CQ197" s="311" t="s">
        <v>1195</v>
      </c>
      <c r="CU197" s="311" t="s">
        <v>1196</v>
      </c>
      <c r="CY197" s="311" t="s">
        <v>1197</v>
      </c>
      <c r="DC197" s="311" t="s">
        <v>1198</v>
      </c>
      <c r="DG197" s="311" t="s">
        <v>1199</v>
      </c>
      <c r="DK197" s="311" t="s">
        <v>1200</v>
      </c>
      <c r="DO197" s="311" t="s">
        <v>1201</v>
      </c>
    </row>
    <row r="198" spans="2:122">
      <c r="F198" s="341"/>
      <c r="G198" s="342" t="s">
        <v>863</v>
      </c>
      <c r="K198" s="341"/>
      <c r="L198" s="342" t="s">
        <v>863</v>
      </c>
      <c r="P198" s="341"/>
      <c r="Q198" s="342" t="s">
        <v>863</v>
      </c>
      <c r="U198" s="341"/>
      <c r="V198" s="342" t="s">
        <v>863</v>
      </c>
      <c r="Y198" s="341"/>
      <c r="Z198" s="342" t="s">
        <v>863</v>
      </c>
      <c r="AB198"/>
      <c r="AC198" s="341"/>
      <c r="AD198" s="342" t="s">
        <v>863</v>
      </c>
      <c r="AG198" s="341"/>
      <c r="AH198" s="342" t="s">
        <v>863</v>
      </c>
      <c r="AK198" s="341"/>
      <c r="AL198" s="342" t="s">
        <v>863</v>
      </c>
      <c r="AO198" s="341"/>
      <c r="AP198" s="342" t="s">
        <v>863</v>
      </c>
      <c r="AS198" s="341"/>
      <c r="AT198" s="342" t="s">
        <v>863</v>
      </c>
      <c r="AY198" s="341"/>
      <c r="AZ198" s="342" t="s">
        <v>863</v>
      </c>
      <c r="BD198" s="341"/>
      <c r="BE198" s="342" t="s">
        <v>863</v>
      </c>
      <c r="BI198" s="341"/>
      <c r="BJ198" s="342" t="s">
        <v>863</v>
      </c>
      <c r="BO198" s="341"/>
      <c r="BP198" s="342" t="s">
        <v>863</v>
      </c>
      <c r="BV198" s="341"/>
      <c r="BW198" s="342" t="s">
        <v>863</v>
      </c>
      <c r="CB198" s="341"/>
      <c r="CC198" s="342" t="s">
        <v>863</v>
      </c>
      <c r="CH198" s="341"/>
      <c r="CI198" s="342" t="s">
        <v>863</v>
      </c>
      <c r="CM198" s="341"/>
      <c r="CN198" s="342" t="s">
        <v>863</v>
      </c>
      <c r="CQ198" s="341"/>
      <c r="CR198" s="342" t="s">
        <v>863</v>
      </c>
      <c r="CU198" s="341"/>
      <c r="CV198" s="342" t="s">
        <v>863</v>
      </c>
      <c r="CY198" s="341"/>
      <c r="CZ198" s="342" t="s">
        <v>863</v>
      </c>
      <c r="DC198" s="341"/>
      <c r="DD198" s="342" t="s">
        <v>863</v>
      </c>
      <c r="DG198" s="341"/>
      <c r="DH198" s="342" t="s">
        <v>863</v>
      </c>
      <c r="DK198" s="341"/>
      <c r="DL198" s="342" t="s">
        <v>863</v>
      </c>
      <c r="DO198" s="341"/>
      <c r="DP198" s="342" t="s">
        <v>863</v>
      </c>
    </row>
    <row r="199" spans="2:122">
      <c r="F199" s="342" t="s">
        <v>862</v>
      </c>
      <c r="G199" s="341"/>
      <c r="K199" s="342" t="s">
        <v>862</v>
      </c>
      <c r="L199" s="341"/>
      <c r="P199" s="342" t="s">
        <v>862</v>
      </c>
      <c r="Q199" s="341"/>
      <c r="U199" s="342" t="s">
        <v>862</v>
      </c>
      <c r="V199" s="341"/>
      <c r="Y199" s="342" t="s">
        <v>862</v>
      </c>
      <c r="Z199" s="341"/>
      <c r="AB199"/>
      <c r="AC199" s="342" t="s">
        <v>862</v>
      </c>
      <c r="AD199" s="341"/>
      <c r="AG199" s="342" t="s">
        <v>862</v>
      </c>
      <c r="AH199" s="341"/>
      <c r="AK199" s="342" t="s">
        <v>862</v>
      </c>
      <c r="AL199" s="341"/>
      <c r="AO199" s="342" t="s">
        <v>862</v>
      </c>
      <c r="AP199" s="341"/>
      <c r="AS199" s="342" t="s">
        <v>862</v>
      </c>
      <c r="AT199" s="341"/>
      <c r="AY199" s="342" t="s">
        <v>862</v>
      </c>
      <c r="AZ199" s="341"/>
      <c r="BD199" s="342" t="s">
        <v>862</v>
      </c>
      <c r="BE199" s="341"/>
      <c r="BI199" s="342" t="s">
        <v>862</v>
      </c>
      <c r="BJ199" s="341"/>
      <c r="BO199" s="342" t="s">
        <v>862</v>
      </c>
      <c r="BP199" s="341"/>
      <c r="BV199" s="342" t="s">
        <v>862</v>
      </c>
      <c r="BW199" s="341"/>
      <c r="CB199" s="342" t="s">
        <v>862</v>
      </c>
      <c r="CC199" s="341"/>
      <c r="CH199" s="342" t="s">
        <v>862</v>
      </c>
      <c r="CI199" s="341"/>
      <c r="CM199" s="342" t="s">
        <v>862</v>
      </c>
      <c r="CN199" s="341"/>
      <c r="CQ199" s="342" t="s">
        <v>862</v>
      </c>
      <c r="CR199" s="341"/>
      <c r="CU199" s="342" t="s">
        <v>862</v>
      </c>
      <c r="CV199" s="341"/>
      <c r="CY199" s="342" t="s">
        <v>862</v>
      </c>
      <c r="CZ199" s="341"/>
      <c r="DC199" s="342" t="s">
        <v>862</v>
      </c>
      <c r="DD199" s="341"/>
      <c r="DG199" s="342" t="s">
        <v>862</v>
      </c>
      <c r="DH199" s="341"/>
      <c r="DK199" s="342" t="s">
        <v>862</v>
      </c>
      <c r="DL199" s="341"/>
      <c r="DO199" s="342" t="s">
        <v>862</v>
      </c>
      <c r="DP199" s="341"/>
    </row>
    <row r="200" spans="2:122">
      <c r="F200" s="341" t="s">
        <v>1114</v>
      </c>
      <c r="G200" s="341">
        <f>100.38*10^6*(3438/500)^0.67</f>
        <v>365310556.98075145</v>
      </c>
      <c r="K200" s="341" t="s">
        <v>1090</v>
      </c>
      <c r="L200" s="341">
        <f>(100.38*10^6)*(2409/500)^0.67</f>
        <v>287851133.81864643</v>
      </c>
      <c r="P200" s="341" t="s">
        <v>1115</v>
      </c>
      <c r="Q200" s="341">
        <f>100.38*10^6*(1944/500)^0.67</f>
        <v>249323826.1706017</v>
      </c>
      <c r="R200" s="288">
        <v>-1043.2555400000001</v>
      </c>
      <c r="U200" s="341" t="s">
        <v>1116</v>
      </c>
      <c r="V200" s="341">
        <f>100.38*10^6*(1655/500)^0.67</f>
        <v>223837036.42283756</v>
      </c>
      <c r="Y200" s="341" t="s">
        <v>1116</v>
      </c>
      <c r="Z200" s="341">
        <f>100.38*10^6*(1655/500)^0.67</f>
        <v>223837036.42283756</v>
      </c>
      <c r="AB200"/>
      <c r="AC200" s="341" t="s">
        <v>1116</v>
      </c>
      <c r="AD200" s="341">
        <f>100.38*10^6*(1655/500)^0.67</f>
        <v>223837036.42283756</v>
      </c>
      <c r="AG200" s="341" t="s">
        <v>1116</v>
      </c>
      <c r="AH200" s="341">
        <f>100.38*10^6*(1655/500)^0.67</f>
        <v>223837036.42283756</v>
      </c>
      <c r="AK200" s="341" t="s">
        <v>1116</v>
      </c>
      <c r="AL200" s="341">
        <f>100.38*10^6*(1655/500)^0.67</f>
        <v>223837036.42283756</v>
      </c>
      <c r="AO200" s="341" t="s">
        <v>1116</v>
      </c>
      <c r="AP200" s="341">
        <f>100.38*10^6*(1655/500)^0.67</f>
        <v>223837036.42283756</v>
      </c>
      <c r="AS200" s="341" t="s">
        <v>1116</v>
      </c>
      <c r="AT200" s="341">
        <f>100.38*10^6*(1655/500)^0.67</f>
        <v>223837036.42283756</v>
      </c>
      <c r="AY200" s="341" t="s">
        <v>1116</v>
      </c>
      <c r="AZ200" s="341">
        <f>100.38*10^6*(1655/500)^0.67</f>
        <v>223837036.42283756</v>
      </c>
      <c r="BD200" s="341" t="s">
        <v>1116</v>
      </c>
      <c r="BE200" s="341">
        <f>100.38*10^6*(1655/500)^0.67</f>
        <v>223837036.42283756</v>
      </c>
      <c r="BI200" s="341" t="s">
        <v>1116</v>
      </c>
      <c r="BJ200" s="341">
        <f>100.38*10^6*(1655/500)^0.67</f>
        <v>223837036.42283756</v>
      </c>
      <c r="BO200" s="341" t="s">
        <v>1116</v>
      </c>
      <c r="BP200" s="341">
        <f>100.38*10^6*(1655/500)^0.67</f>
        <v>223837036.42283756</v>
      </c>
      <c r="BV200" s="341" t="s">
        <v>1116</v>
      </c>
      <c r="BW200" s="341">
        <f>100.38*10^6*(1655/500)^0.67</f>
        <v>223837036.42283756</v>
      </c>
      <c r="CB200" s="341" t="s">
        <v>1116</v>
      </c>
      <c r="CC200" s="341">
        <f>100.38*10^6*(1655/500)^0.67</f>
        <v>223837036.42283756</v>
      </c>
      <c r="CH200" s="341" t="s">
        <v>1116</v>
      </c>
      <c r="CI200" s="341">
        <f>100.38*10^6*(1655/500)^0.67</f>
        <v>223837036.42283756</v>
      </c>
      <c r="CM200" s="341" t="s">
        <v>1116</v>
      </c>
      <c r="CN200" s="341">
        <f>100.38*10^6*(1655/500)^0.67</f>
        <v>223837036.42283756</v>
      </c>
      <c r="CQ200" s="341" t="s">
        <v>1116</v>
      </c>
      <c r="CR200" s="341">
        <f>100.38*10^6*(1655/500)^0.67</f>
        <v>223837036.42283756</v>
      </c>
      <c r="CU200" s="341" t="s">
        <v>1116</v>
      </c>
      <c r="CV200" s="341">
        <f>100.38*10^6*(1655/500)^0.67</f>
        <v>223837036.42283756</v>
      </c>
      <c r="CY200" s="341" t="s">
        <v>1116</v>
      </c>
      <c r="CZ200" s="341">
        <f>100.38*10^6*(1655/500)^0.67</f>
        <v>223837036.42283756</v>
      </c>
      <c r="DC200" s="341" t="s">
        <v>1116</v>
      </c>
      <c r="DD200" s="341">
        <f>100.38*10^6*(1655/500)^0.67</f>
        <v>223837036.42283756</v>
      </c>
      <c r="DG200" s="341" t="s">
        <v>1116</v>
      </c>
      <c r="DH200" s="341">
        <f>100.38*10^6*(1655/500)^0.67</f>
        <v>223837036.42283756</v>
      </c>
      <c r="DK200" s="341" t="s">
        <v>1116</v>
      </c>
      <c r="DL200" s="341">
        <f>100.38*10^6*(1655/500)^0.67</f>
        <v>223837036.42283756</v>
      </c>
      <c r="DO200" s="341" t="s">
        <v>1116</v>
      </c>
      <c r="DP200" s="341">
        <f>100.38*10^6*(1655/500)^0.67</f>
        <v>223837036.42283756</v>
      </c>
    </row>
    <row r="201" spans="2:122">
      <c r="F201" s="342" t="s">
        <v>864</v>
      </c>
      <c r="G201" s="341"/>
      <c r="K201" s="342" t="s">
        <v>864</v>
      </c>
      <c r="L201" s="341"/>
      <c r="P201" s="342" t="s">
        <v>864</v>
      </c>
      <c r="Q201" s="341"/>
      <c r="U201" s="342" t="s">
        <v>864</v>
      </c>
      <c r="V201" s="341"/>
      <c r="Y201" s="342" t="s">
        <v>864</v>
      </c>
      <c r="Z201" s="341"/>
      <c r="AB201"/>
      <c r="AC201" s="342" t="s">
        <v>864</v>
      </c>
      <c r="AD201" s="341"/>
      <c r="AG201" s="342" t="s">
        <v>864</v>
      </c>
      <c r="AH201" s="341"/>
      <c r="AK201" s="342" t="s">
        <v>864</v>
      </c>
      <c r="AL201" s="341"/>
      <c r="AO201" s="342" t="s">
        <v>864</v>
      </c>
      <c r="AP201" s="341"/>
      <c r="AS201" s="342" t="s">
        <v>864</v>
      </c>
      <c r="AT201" s="341"/>
      <c r="AY201" s="342" t="s">
        <v>864</v>
      </c>
      <c r="AZ201" s="341"/>
      <c r="BD201" s="342" t="s">
        <v>864</v>
      </c>
      <c r="BE201" s="341"/>
      <c r="BI201" s="342" t="s">
        <v>864</v>
      </c>
      <c r="BJ201" s="341"/>
      <c r="BO201" s="342" t="s">
        <v>864</v>
      </c>
      <c r="BP201" s="341"/>
      <c r="BV201" s="342" t="s">
        <v>864</v>
      </c>
      <c r="BW201" s="341"/>
      <c r="CB201" s="342" t="s">
        <v>864</v>
      </c>
      <c r="CC201" s="341"/>
      <c r="CH201" s="342" t="s">
        <v>864</v>
      </c>
      <c r="CI201" s="341"/>
      <c r="CM201" s="342" t="s">
        <v>864</v>
      </c>
      <c r="CN201" s="341"/>
      <c r="CQ201" s="342" t="s">
        <v>864</v>
      </c>
      <c r="CR201" s="341"/>
      <c r="CU201" s="342" t="s">
        <v>864</v>
      </c>
      <c r="CV201" s="341"/>
      <c r="CY201" s="342" t="s">
        <v>864</v>
      </c>
      <c r="CZ201" s="341"/>
      <c r="DC201" s="342" t="s">
        <v>864</v>
      </c>
      <c r="DD201" s="341"/>
      <c r="DG201" s="342" t="s">
        <v>864</v>
      </c>
      <c r="DH201" s="341"/>
      <c r="DK201" s="342" t="s">
        <v>864</v>
      </c>
      <c r="DL201" s="341"/>
      <c r="DO201" s="342" t="s">
        <v>864</v>
      </c>
      <c r="DP201" s="341"/>
    </row>
    <row r="202" spans="2:122">
      <c r="F202" s="341" t="s">
        <v>789</v>
      </c>
      <c r="G202" s="341">
        <f>G193*(H202/H193)^(0.67)</f>
        <v>398798785.9551897</v>
      </c>
      <c r="H202" s="288">
        <v>1760409.92</v>
      </c>
      <c r="I202" s="288" t="s">
        <v>657</v>
      </c>
      <c r="K202" s="341" t="s">
        <v>789</v>
      </c>
      <c r="L202" s="341">
        <f>L193*(M202/M193)^(0.67)</f>
        <v>282333623.79960054</v>
      </c>
      <c r="M202" s="288">
        <v>1051347.55</v>
      </c>
      <c r="N202" s="288" t="s">
        <v>657</v>
      </c>
      <c r="P202" s="341" t="s">
        <v>789</v>
      </c>
      <c r="Q202" s="341">
        <f>Q193*(R202/R193)^(0.67)</f>
        <v>183631728.40402183</v>
      </c>
      <c r="R202" s="288">
        <v>553245.80200000003</v>
      </c>
      <c r="S202" s="288" t="s">
        <v>657</v>
      </c>
      <c r="U202" s="341" t="s">
        <v>789</v>
      </c>
      <c r="V202" s="341">
        <f>V193*(W202/W193)^(0.67)</f>
        <v>121599737.42010781</v>
      </c>
      <c r="W202" s="288">
        <v>299041.48</v>
      </c>
      <c r="X202" s="288" t="s">
        <v>657</v>
      </c>
      <c r="Y202" s="341" t="s">
        <v>789</v>
      </c>
      <c r="Z202" s="341">
        <f>Z193*(AA202/AA193)^(0.67)</f>
        <v>121599737.42010781</v>
      </c>
      <c r="AA202" s="288">
        <v>299041.48</v>
      </c>
      <c r="AB202"/>
      <c r="AC202" s="341" t="s">
        <v>789</v>
      </c>
      <c r="AD202" s="341">
        <f>AD193*(AE202/AE193)^(0.67)</f>
        <v>121599737.42010781</v>
      </c>
      <c r="AE202" s="288">
        <v>299041.48</v>
      </c>
      <c r="AG202" s="341" t="s">
        <v>789</v>
      </c>
      <c r="AH202" s="341">
        <f>AH193*(AI202/AI193)^(0.67)</f>
        <v>121599737.42010781</v>
      </c>
      <c r="AI202" s="288">
        <v>299041.48</v>
      </c>
      <c r="AK202" s="341" t="s">
        <v>789</v>
      </c>
      <c r="AL202" s="341">
        <f>AL193*(AM202/AM193)^(0.67)</f>
        <v>121599737.42010781</v>
      </c>
      <c r="AM202" s="288">
        <v>299041.48</v>
      </c>
      <c r="AO202" s="341" t="s">
        <v>789</v>
      </c>
      <c r="AP202" s="341">
        <f>AP193*(AQ202/AQ193)^(0.67)</f>
        <v>121599737.42010781</v>
      </c>
      <c r="AQ202" s="288">
        <v>299041.48</v>
      </c>
      <c r="AS202" s="341" t="s">
        <v>789</v>
      </c>
      <c r="AT202" s="341">
        <f>AT193*(AU202/AU193)^(0.67)</f>
        <v>121599737.42010781</v>
      </c>
      <c r="AU202" s="288">
        <v>299041.48</v>
      </c>
      <c r="AY202" s="341" t="s">
        <v>789</v>
      </c>
      <c r="AZ202" s="341">
        <f>AZ193*(BA202/BA193)^(0.67)</f>
        <v>121599737.42010781</v>
      </c>
      <c r="BA202" s="288">
        <v>299041.48</v>
      </c>
      <c r="BD202" s="341" t="s">
        <v>789</v>
      </c>
      <c r="BE202" s="341">
        <f>BE193*(BF202/BF193)^(0.67)</f>
        <v>121599737.42010781</v>
      </c>
      <c r="BF202" s="288">
        <v>299041.48</v>
      </c>
      <c r="BI202" s="341" t="s">
        <v>789</v>
      </c>
      <c r="BJ202" s="341">
        <f>BJ193*(BK202/BK193)^(0.67)</f>
        <v>121599737.42010781</v>
      </c>
      <c r="BK202" s="288">
        <v>299041.48</v>
      </c>
      <c r="BO202" s="341" t="s">
        <v>789</v>
      </c>
      <c r="BP202" s="341">
        <f>BP193*(BQ202/BQ193)^(0.67)</f>
        <v>121599737.42010781</v>
      </c>
      <c r="BQ202" s="288">
        <v>299041.48</v>
      </c>
      <c r="BV202" s="341" t="s">
        <v>789</v>
      </c>
      <c r="BW202" s="341">
        <f>BW193*(BX202/BX193)^(0.67)</f>
        <v>121599737.42010781</v>
      </c>
      <c r="BX202" s="288">
        <v>299041.48</v>
      </c>
      <c r="CB202" s="341" t="s">
        <v>789</v>
      </c>
      <c r="CC202" s="341">
        <f>CC193*(CD202/CD193)^(0.67)</f>
        <v>121599737.42010781</v>
      </c>
      <c r="CD202" s="288">
        <v>299041.48</v>
      </c>
      <c r="CH202" s="341" t="s">
        <v>789</v>
      </c>
      <c r="CI202" s="341">
        <f>CI193*(CJ202/CJ193)^(0.67)</f>
        <v>121599737.42010781</v>
      </c>
      <c r="CJ202" s="288">
        <v>299041.48</v>
      </c>
      <c r="CM202" s="341" t="s">
        <v>789</v>
      </c>
      <c r="CN202" s="341">
        <f>CN193*(CO202/CO193)^(0.67)</f>
        <v>121599737.42010781</v>
      </c>
      <c r="CO202" s="288">
        <v>299041.48</v>
      </c>
      <c r="CQ202" s="341" t="s">
        <v>789</v>
      </c>
      <c r="CR202" s="341">
        <f>CR193*(CS202/CS193)^(0.67)</f>
        <v>121599737.42010781</v>
      </c>
      <c r="CS202" s="288">
        <v>299041.48</v>
      </c>
      <c r="CU202" s="341" t="s">
        <v>789</v>
      </c>
      <c r="CV202" s="341">
        <f>CV193*(CW202/CW193)^(0.67)</f>
        <v>121599737.42010781</v>
      </c>
      <c r="CW202" s="288">
        <v>299041.48</v>
      </c>
      <c r="CY202" s="341" t="s">
        <v>789</v>
      </c>
      <c r="CZ202" s="341">
        <f>CZ193*(DA202/DA193)^(0.67)</f>
        <v>121599737.42010781</v>
      </c>
      <c r="DA202" s="288">
        <v>299041.48</v>
      </c>
      <c r="DC202" s="341" t="s">
        <v>789</v>
      </c>
      <c r="DD202" s="341">
        <f>DD193*(DE202/DE193)^(0.67)</f>
        <v>121599737.42010781</v>
      </c>
      <c r="DE202" s="288">
        <v>299041.48</v>
      </c>
      <c r="DG202" s="341" t="s">
        <v>789</v>
      </c>
      <c r="DH202" s="341">
        <f>DH193*(DI202/DI193)^(0.67)</f>
        <v>121599737.42010781</v>
      </c>
      <c r="DI202" s="288">
        <v>299041.48</v>
      </c>
      <c r="DK202" s="341" t="s">
        <v>789</v>
      </c>
      <c r="DL202" s="341">
        <f>DL193*(DM202/DM193)^(0.67)</f>
        <v>121599737.42010781</v>
      </c>
      <c r="DM202" s="288">
        <v>299041.48</v>
      </c>
      <c r="DO202" s="341" t="s">
        <v>789</v>
      </c>
      <c r="DP202" s="341">
        <f>DP193*(DQ202/DQ193)^(0.67)</f>
        <v>121599737.42010781</v>
      </c>
      <c r="DQ202" s="288">
        <v>299041.48</v>
      </c>
    </row>
    <row r="203" spans="2:122">
      <c r="F203" s="341" t="s">
        <v>793</v>
      </c>
      <c r="G203" s="341">
        <f>G193*(H203/H193)^(0.67)</f>
        <v>101485323.6995557</v>
      </c>
      <c r="H203" s="288">
        <v>228309.18299999999</v>
      </c>
      <c r="I203" s="288" t="s">
        <v>657</v>
      </c>
      <c r="K203" s="341" t="s">
        <v>793</v>
      </c>
      <c r="L203" s="341">
        <f>L193*(M203/M193)^(0.67)</f>
        <v>138106687.57004398</v>
      </c>
      <c r="M203" s="288">
        <v>361611.29599999997</v>
      </c>
      <c r="N203" s="288" t="s">
        <v>657</v>
      </c>
      <c r="P203" s="341" t="s">
        <v>793</v>
      </c>
      <c r="Q203" s="341">
        <f>Q193*(R203/R193)^(0.67)</f>
        <v>169490545.31473869</v>
      </c>
      <c r="R203" s="288">
        <v>490879.02799999999</v>
      </c>
      <c r="S203" s="288" t="s">
        <v>657</v>
      </c>
      <c r="U203" s="341" t="s">
        <v>793</v>
      </c>
      <c r="V203" s="341">
        <f>V193*(W203/W193)^(0.67)</f>
        <v>175340389.71524721</v>
      </c>
      <c r="W203" s="288">
        <v>516379.79399999999</v>
      </c>
      <c r="X203" s="288" t="s">
        <v>657</v>
      </c>
      <c r="Y203" s="341" t="s">
        <v>793</v>
      </c>
      <c r="Z203" s="341">
        <f>Z193*(AA203/AA193)^(0.67)</f>
        <v>175340389.71524721</v>
      </c>
      <c r="AA203" s="288">
        <v>516379.79399999999</v>
      </c>
      <c r="AB203"/>
      <c r="AC203" s="341" t="s">
        <v>793</v>
      </c>
      <c r="AD203" s="341">
        <f>AD193*(AE203/AE193)^(0.67)</f>
        <v>175340389.71524721</v>
      </c>
      <c r="AE203" s="288">
        <v>516379.79399999999</v>
      </c>
      <c r="AG203" s="341" t="s">
        <v>793</v>
      </c>
      <c r="AH203" s="341">
        <f>AH193*(AI203/AI193)^(0.67)</f>
        <v>175340389.71524721</v>
      </c>
      <c r="AI203" s="288">
        <v>516379.79399999999</v>
      </c>
      <c r="AK203" s="341" t="s">
        <v>793</v>
      </c>
      <c r="AL203" s="341">
        <f>AL193*(AM203/AM193)^(0.67)</f>
        <v>175340389.71524721</v>
      </c>
      <c r="AM203" s="288">
        <v>516379.79399999999</v>
      </c>
      <c r="AO203" s="341" t="s">
        <v>793</v>
      </c>
      <c r="AP203" s="341">
        <f>AP193*(AQ203/AQ193)^(0.67)</f>
        <v>175340389.71524721</v>
      </c>
      <c r="AQ203" s="288">
        <v>516379.79399999999</v>
      </c>
      <c r="AS203" s="341" t="s">
        <v>793</v>
      </c>
      <c r="AT203" s="341">
        <f>AT193*(AU203/AU193)^(0.67)</f>
        <v>175340389.71524721</v>
      </c>
      <c r="AU203" s="288">
        <v>516379.79399999999</v>
      </c>
      <c r="AY203" s="341" t="s">
        <v>793</v>
      </c>
      <c r="AZ203" s="341">
        <f>AZ193*(BA203/BA193)^(0.67)</f>
        <v>175340389.71524721</v>
      </c>
      <c r="BA203" s="288">
        <v>516379.79399999999</v>
      </c>
      <c r="BD203" s="341" t="s">
        <v>793</v>
      </c>
      <c r="BE203" s="341">
        <f>BE193*(BF203/BF193)^(0.67)</f>
        <v>175340389.71524721</v>
      </c>
      <c r="BF203" s="288">
        <v>516379.79399999999</v>
      </c>
      <c r="BI203" s="341" t="s">
        <v>793</v>
      </c>
      <c r="BJ203" s="341">
        <f>BJ193*(BK203/BK193)^(0.67)</f>
        <v>175340389.71524721</v>
      </c>
      <c r="BK203" s="288">
        <v>516379.79399999999</v>
      </c>
      <c r="BO203" s="341" t="s">
        <v>793</v>
      </c>
      <c r="BP203" s="341">
        <f>BP193*(BQ203/BQ193)^(0.67)</f>
        <v>175340389.71524721</v>
      </c>
      <c r="BQ203" s="288">
        <v>516379.79399999999</v>
      </c>
      <c r="BV203" s="341" t="s">
        <v>793</v>
      </c>
      <c r="BW203" s="341">
        <f>BW193*(BX203/BX193)^(0.67)</f>
        <v>175340389.71524721</v>
      </c>
      <c r="BX203" s="288">
        <v>516379.79399999999</v>
      </c>
      <c r="CB203" s="341" t="s">
        <v>793</v>
      </c>
      <c r="CC203" s="341">
        <f>CC193*(CD203/CD193)^(0.67)</f>
        <v>175340389.71524721</v>
      </c>
      <c r="CD203" s="288">
        <v>516379.79399999999</v>
      </c>
      <c r="CH203" s="341" t="s">
        <v>793</v>
      </c>
      <c r="CI203" s="341">
        <f>CI193*(CJ203/CJ193)^(0.67)</f>
        <v>175340389.71524721</v>
      </c>
      <c r="CJ203" s="288">
        <v>516379.79399999999</v>
      </c>
      <c r="CM203" s="341" t="s">
        <v>793</v>
      </c>
      <c r="CN203" s="341">
        <f>CN193*(CO203/CO193)^(0.67)</f>
        <v>175340389.71524721</v>
      </c>
      <c r="CO203" s="288">
        <v>516379.79399999999</v>
      </c>
      <c r="CQ203" s="341" t="s">
        <v>793</v>
      </c>
      <c r="CR203" s="341">
        <f>CR193*(CS203/CS193)^(0.67)</f>
        <v>175340389.71524721</v>
      </c>
      <c r="CS203" s="288">
        <v>516379.79399999999</v>
      </c>
      <c r="CU203" s="341" t="s">
        <v>793</v>
      </c>
      <c r="CV203" s="341">
        <f>CV193*(CW203/CW193)^(0.67)</f>
        <v>175340389.71524721</v>
      </c>
      <c r="CW203" s="288">
        <v>516379.79399999999</v>
      </c>
      <c r="CY203" s="341" t="s">
        <v>793</v>
      </c>
      <c r="CZ203" s="341">
        <f>CZ193*(DA203/DA193)^(0.67)</f>
        <v>175340389.71524721</v>
      </c>
      <c r="DA203" s="288">
        <v>516379.79399999999</v>
      </c>
      <c r="DC203" s="341" t="s">
        <v>793</v>
      </c>
      <c r="DD203" s="341">
        <f>DD193*(DE203/DE193)^(0.67)</f>
        <v>175340389.71524721</v>
      </c>
      <c r="DE203" s="288">
        <v>516379.79399999999</v>
      </c>
      <c r="DG203" s="341" t="s">
        <v>793</v>
      </c>
      <c r="DH203" s="341">
        <f>DH193*(DI203/DI193)^(0.67)</f>
        <v>175340389.71524721</v>
      </c>
      <c r="DI203" s="288">
        <v>516379.79399999999</v>
      </c>
      <c r="DK203" s="341" t="s">
        <v>793</v>
      </c>
      <c r="DL203" s="341">
        <f>DL193*(DM203/DM193)^(0.67)</f>
        <v>175340389.71524721</v>
      </c>
      <c r="DM203" s="288">
        <v>516379.79399999999</v>
      </c>
      <c r="DO203" s="341" t="s">
        <v>793</v>
      </c>
      <c r="DP203" s="341">
        <f>DP193*(DQ203/DQ193)^(0.67)</f>
        <v>175340389.71524721</v>
      </c>
      <c r="DQ203" s="288">
        <v>516379.79399999999</v>
      </c>
    </row>
    <row r="204" spans="2:122">
      <c r="F204" s="342" t="s">
        <v>607</v>
      </c>
      <c r="G204" s="341"/>
      <c r="K204" s="342" t="s">
        <v>607</v>
      </c>
      <c r="L204" s="341"/>
      <c r="P204" s="342" t="s">
        <v>607</v>
      </c>
      <c r="Q204" s="341"/>
      <c r="U204" s="342" t="s">
        <v>607</v>
      </c>
      <c r="V204" s="341"/>
      <c r="Y204" s="342" t="s">
        <v>607</v>
      </c>
      <c r="Z204" s="341"/>
      <c r="AB204"/>
      <c r="AC204" s="342" t="s">
        <v>607</v>
      </c>
      <c r="AD204" s="341"/>
      <c r="AG204" s="342" t="s">
        <v>607</v>
      </c>
      <c r="AH204" s="341"/>
      <c r="AK204" s="342" t="s">
        <v>607</v>
      </c>
      <c r="AL204" s="341"/>
      <c r="AO204" s="342" t="s">
        <v>607</v>
      </c>
      <c r="AP204" s="341"/>
      <c r="AS204" s="342" t="s">
        <v>607</v>
      </c>
      <c r="AT204" s="341"/>
      <c r="AY204" s="342" t="s">
        <v>607</v>
      </c>
      <c r="AZ204" s="341"/>
      <c r="BD204" s="342" t="s">
        <v>607</v>
      </c>
      <c r="BE204" s="341"/>
      <c r="BI204" s="342" t="s">
        <v>607</v>
      </c>
      <c r="BJ204" s="341"/>
      <c r="BO204" s="342" t="s">
        <v>607</v>
      </c>
      <c r="BP204" s="341"/>
      <c r="BV204" s="342" t="s">
        <v>607</v>
      </c>
      <c r="BW204" s="341"/>
      <c r="CB204" s="342" t="s">
        <v>607</v>
      </c>
      <c r="CC204" s="341"/>
      <c r="CH204" s="342" t="s">
        <v>607</v>
      </c>
      <c r="CI204" s="341"/>
      <c r="CM204" s="342" t="s">
        <v>607</v>
      </c>
      <c r="CN204" s="341"/>
      <c r="CQ204" s="342" t="s">
        <v>607</v>
      </c>
      <c r="CR204" s="341"/>
      <c r="CU204" s="342" t="s">
        <v>607</v>
      </c>
      <c r="CV204" s="341"/>
      <c r="CY204" s="342" t="s">
        <v>607</v>
      </c>
      <c r="CZ204" s="341"/>
      <c r="DC204" s="342" t="s">
        <v>607</v>
      </c>
      <c r="DD204" s="341"/>
      <c r="DG204" s="342" t="s">
        <v>607</v>
      </c>
      <c r="DH204" s="341"/>
      <c r="DK204" s="342" t="s">
        <v>607</v>
      </c>
      <c r="DL204" s="341"/>
      <c r="DO204" s="342" t="s">
        <v>607</v>
      </c>
      <c r="DP204" s="341"/>
    </row>
    <row r="205" spans="2:122">
      <c r="F205" s="341" t="s">
        <v>149</v>
      </c>
      <c r="G205" s="341">
        <v>4883800</v>
      </c>
      <c r="K205" s="341" t="s">
        <v>149</v>
      </c>
      <c r="L205" s="341">
        <v>4657600</v>
      </c>
      <c r="P205" s="341" t="s">
        <v>149</v>
      </c>
      <c r="Q205" s="341">
        <v>5481000</v>
      </c>
      <c r="U205" s="341" t="s">
        <v>149</v>
      </c>
      <c r="V205" s="341">
        <v>6742500</v>
      </c>
      <c r="Y205" s="341" t="s">
        <v>149</v>
      </c>
      <c r="Z205" s="341">
        <v>6742500</v>
      </c>
      <c r="AB205"/>
      <c r="AC205" s="341" t="s">
        <v>149</v>
      </c>
      <c r="AD205" s="341">
        <v>6742500</v>
      </c>
      <c r="AG205" s="341" t="s">
        <v>149</v>
      </c>
      <c r="AH205" s="341">
        <v>6742500</v>
      </c>
      <c r="AK205" s="341" t="s">
        <v>149</v>
      </c>
      <c r="AL205" s="341">
        <v>6742500</v>
      </c>
      <c r="AO205" s="341" t="s">
        <v>149</v>
      </c>
      <c r="AP205" s="341">
        <v>6742500</v>
      </c>
      <c r="AS205" s="341" t="s">
        <v>149</v>
      </c>
      <c r="AT205" s="341">
        <v>6742500</v>
      </c>
      <c r="AY205" s="341" t="s">
        <v>149</v>
      </c>
      <c r="AZ205" s="341">
        <v>6742500</v>
      </c>
      <c r="BD205" s="341" t="s">
        <v>149</v>
      </c>
      <c r="BE205" s="341">
        <v>6742500</v>
      </c>
      <c r="BI205" s="341" t="s">
        <v>149</v>
      </c>
      <c r="BJ205" s="341">
        <v>6742500</v>
      </c>
      <c r="BO205" s="341" t="s">
        <v>149</v>
      </c>
      <c r="BP205" s="341">
        <v>6742500</v>
      </c>
      <c r="BV205" s="341" t="s">
        <v>149</v>
      </c>
      <c r="BW205" s="341">
        <v>6742500</v>
      </c>
      <c r="CB205" s="341" t="s">
        <v>149</v>
      </c>
      <c r="CC205" s="341">
        <v>6742500</v>
      </c>
      <c r="CH205" s="341" t="s">
        <v>149</v>
      </c>
      <c r="CI205" s="341">
        <v>6742500</v>
      </c>
      <c r="CM205" s="341" t="s">
        <v>149</v>
      </c>
      <c r="CN205" s="341">
        <v>6742500</v>
      </c>
      <c r="CQ205" s="341" t="s">
        <v>149</v>
      </c>
      <c r="CR205" s="341">
        <v>6742500</v>
      </c>
      <c r="CU205" s="341" t="s">
        <v>149</v>
      </c>
      <c r="CV205" s="341">
        <v>6742500</v>
      </c>
      <c r="CY205" s="341" t="s">
        <v>149</v>
      </c>
      <c r="CZ205" s="341">
        <v>6742500</v>
      </c>
      <c r="DC205" s="341" t="s">
        <v>149</v>
      </c>
      <c r="DD205" s="341">
        <v>6742500</v>
      </c>
      <c r="DG205" s="341" t="s">
        <v>149</v>
      </c>
      <c r="DH205" s="341">
        <v>6742500</v>
      </c>
      <c r="DK205" s="341" t="s">
        <v>149</v>
      </c>
      <c r="DL205" s="341">
        <v>6742500</v>
      </c>
      <c r="DO205" s="341" t="s">
        <v>149</v>
      </c>
      <c r="DP205" s="341">
        <v>6742500</v>
      </c>
    </row>
    <row r="206" spans="2:122">
      <c r="F206" s="341" t="s">
        <v>127</v>
      </c>
      <c r="G206" s="341">
        <v>3485300</v>
      </c>
      <c r="K206" s="341" t="s">
        <v>127</v>
      </c>
      <c r="L206" s="341">
        <v>2431400</v>
      </c>
      <c r="P206" s="341" t="s">
        <v>127</v>
      </c>
      <c r="Q206" s="341">
        <v>1924300</v>
      </c>
      <c r="U206" s="341" t="s">
        <v>127</v>
      </c>
      <c r="V206" s="341">
        <v>1712500</v>
      </c>
      <c r="Y206" s="341" t="s">
        <v>127</v>
      </c>
      <c r="Z206" s="341">
        <v>1712500</v>
      </c>
      <c r="AB206"/>
      <c r="AC206" s="341" t="s">
        <v>127</v>
      </c>
      <c r="AD206" s="341">
        <v>1712500</v>
      </c>
      <c r="AG206" s="341" t="s">
        <v>127</v>
      </c>
      <c r="AH206" s="341">
        <v>1712500</v>
      </c>
      <c r="AK206" s="341" t="s">
        <v>127</v>
      </c>
      <c r="AL206" s="341">
        <v>1712500</v>
      </c>
      <c r="AO206" s="341" t="s">
        <v>127</v>
      </c>
      <c r="AP206" s="341">
        <v>1712500</v>
      </c>
      <c r="AS206" s="341" t="s">
        <v>127</v>
      </c>
      <c r="AT206" s="341">
        <v>1712500</v>
      </c>
      <c r="AY206" s="341" t="s">
        <v>127</v>
      </c>
      <c r="AZ206" s="341">
        <v>1712500</v>
      </c>
      <c r="BD206" s="341" t="s">
        <v>127</v>
      </c>
      <c r="BE206" s="341">
        <v>1712500</v>
      </c>
      <c r="BI206" s="341" t="s">
        <v>127</v>
      </c>
      <c r="BJ206" s="341">
        <v>1712500</v>
      </c>
      <c r="BO206" s="341" t="s">
        <v>127</v>
      </c>
      <c r="BP206" s="341">
        <v>1712500</v>
      </c>
      <c r="BV206" s="341" t="s">
        <v>127</v>
      </c>
      <c r="BW206" s="341">
        <v>1712500</v>
      </c>
      <c r="CB206" s="341" t="s">
        <v>127</v>
      </c>
      <c r="CC206" s="341">
        <v>1712500</v>
      </c>
      <c r="CH206" s="341" t="s">
        <v>127</v>
      </c>
      <c r="CI206" s="341">
        <v>1712500</v>
      </c>
      <c r="CM206" s="341" t="s">
        <v>127</v>
      </c>
      <c r="CN206" s="341">
        <v>1712500</v>
      </c>
      <c r="CQ206" s="341" t="s">
        <v>127</v>
      </c>
      <c r="CR206" s="341">
        <v>1712500</v>
      </c>
      <c r="CU206" s="341" t="s">
        <v>127</v>
      </c>
      <c r="CV206" s="341">
        <v>1712500</v>
      </c>
      <c r="CY206" s="341" t="s">
        <v>127</v>
      </c>
      <c r="CZ206" s="341">
        <v>1712500</v>
      </c>
      <c r="DC206" s="341" t="s">
        <v>127</v>
      </c>
      <c r="DD206" s="341">
        <v>1712500</v>
      </c>
      <c r="DG206" s="341" t="s">
        <v>127</v>
      </c>
      <c r="DH206" s="341">
        <v>1712500</v>
      </c>
      <c r="DK206" s="341" t="s">
        <v>127</v>
      </c>
      <c r="DL206" s="341">
        <v>1712500</v>
      </c>
      <c r="DO206" s="341" t="s">
        <v>127</v>
      </c>
      <c r="DP206" s="341">
        <v>1712500</v>
      </c>
    </row>
    <row r="207" spans="2:122">
      <c r="F207" s="341" t="s">
        <v>125</v>
      </c>
      <c r="G207" s="341">
        <v>3090200</v>
      </c>
      <c r="K207" s="341" t="s">
        <v>125</v>
      </c>
      <c r="L207" s="341">
        <v>2173100</v>
      </c>
      <c r="P207" s="341" t="s">
        <v>125</v>
      </c>
      <c r="Q207" s="341">
        <v>1712500</v>
      </c>
      <c r="U207" s="341" t="s">
        <v>125</v>
      </c>
      <c r="V207" s="341">
        <v>1596600</v>
      </c>
      <c r="Y207" s="341" t="s">
        <v>125</v>
      </c>
      <c r="Z207" s="341">
        <v>1596600</v>
      </c>
      <c r="AB207"/>
      <c r="AC207" s="341" t="s">
        <v>125</v>
      </c>
      <c r="AD207" s="341">
        <v>1596600</v>
      </c>
      <c r="AG207" s="341" t="s">
        <v>125</v>
      </c>
      <c r="AH207" s="341">
        <v>1596600</v>
      </c>
      <c r="AK207" s="341" t="s">
        <v>125</v>
      </c>
      <c r="AL207" s="341">
        <v>1596600</v>
      </c>
      <c r="AO207" s="341" t="s">
        <v>125</v>
      </c>
      <c r="AP207" s="341">
        <v>1596600</v>
      </c>
      <c r="AS207" s="341" t="s">
        <v>125</v>
      </c>
      <c r="AT207" s="341">
        <v>1596600</v>
      </c>
      <c r="AY207" s="341" t="s">
        <v>125</v>
      </c>
      <c r="AZ207" s="341">
        <v>1596600</v>
      </c>
      <c r="BD207" s="341" t="s">
        <v>125</v>
      </c>
      <c r="BE207" s="341">
        <v>1596600</v>
      </c>
      <c r="BI207" s="341" t="s">
        <v>125</v>
      </c>
      <c r="BJ207" s="341">
        <v>1596600</v>
      </c>
      <c r="BO207" s="341" t="s">
        <v>125</v>
      </c>
      <c r="BP207" s="341">
        <v>1596600</v>
      </c>
      <c r="BV207" s="341" t="s">
        <v>125</v>
      </c>
      <c r="BW207" s="341">
        <v>1596600</v>
      </c>
      <c r="CB207" s="341" t="s">
        <v>125</v>
      </c>
      <c r="CC207" s="341">
        <v>1596600</v>
      </c>
      <c r="CH207" s="341" t="s">
        <v>125</v>
      </c>
      <c r="CI207" s="341">
        <v>1596600</v>
      </c>
      <c r="CM207" s="341" t="s">
        <v>125</v>
      </c>
      <c r="CN207" s="341">
        <v>1596600</v>
      </c>
      <c r="CQ207" s="341" t="s">
        <v>125</v>
      </c>
      <c r="CR207" s="341">
        <v>1596600</v>
      </c>
      <c r="CU207" s="341" t="s">
        <v>125</v>
      </c>
      <c r="CV207" s="341">
        <v>1596600</v>
      </c>
      <c r="CY207" s="341" t="s">
        <v>125</v>
      </c>
      <c r="CZ207" s="341">
        <v>1596600</v>
      </c>
      <c r="DC207" s="341" t="s">
        <v>125</v>
      </c>
      <c r="DD207" s="341">
        <v>1596600</v>
      </c>
      <c r="DG207" s="341" t="s">
        <v>125</v>
      </c>
      <c r="DH207" s="341">
        <v>1596600</v>
      </c>
      <c r="DK207" s="341" t="s">
        <v>125</v>
      </c>
      <c r="DL207" s="341">
        <v>1596600</v>
      </c>
      <c r="DO207" s="341" t="s">
        <v>125</v>
      </c>
      <c r="DP207" s="341">
        <v>1596600</v>
      </c>
    </row>
    <row r="208" spans="2:122">
      <c r="F208" s="341" t="s">
        <v>79</v>
      </c>
      <c r="G208" s="341">
        <v>2090500</v>
      </c>
      <c r="K208" s="341" t="s">
        <v>79</v>
      </c>
      <c r="L208" s="341">
        <v>1325800</v>
      </c>
      <c r="P208" s="341" t="s">
        <v>79</v>
      </c>
      <c r="Q208" s="341">
        <v>1175200</v>
      </c>
      <c r="U208" s="341" t="s">
        <v>79</v>
      </c>
      <c r="V208" s="341">
        <v>1325400</v>
      </c>
      <c r="Y208" s="341" t="s">
        <v>79</v>
      </c>
      <c r="Z208" s="341">
        <v>1325400</v>
      </c>
      <c r="AB208"/>
      <c r="AC208" s="341" t="s">
        <v>79</v>
      </c>
      <c r="AD208" s="341">
        <v>1325400</v>
      </c>
      <c r="AG208" s="341" t="s">
        <v>79</v>
      </c>
      <c r="AH208" s="341">
        <v>1325400</v>
      </c>
      <c r="AK208" s="341" t="s">
        <v>79</v>
      </c>
      <c r="AL208" s="341">
        <v>1325400</v>
      </c>
      <c r="AO208" s="341" t="s">
        <v>79</v>
      </c>
      <c r="AP208" s="341">
        <v>1325400</v>
      </c>
      <c r="AS208" s="341" t="s">
        <v>79</v>
      </c>
      <c r="AT208" s="341">
        <v>1325400</v>
      </c>
      <c r="AY208" s="341" t="s">
        <v>79</v>
      </c>
      <c r="AZ208" s="341">
        <v>1325400</v>
      </c>
      <c r="BD208" s="341" t="s">
        <v>79</v>
      </c>
      <c r="BE208" s="341">
        <v>1325400</v>
      </c>
      <c r="BI208" s="341" t="s">
        <v>79</v>
      </c>
      <c r="BJ208" s="341">
        <v>1325400</v>
      </c>
      <c r="BO208" s="341" t="s">
        <v>79</v>
      </c>
      <c r="BP208" s="341">
        <v>1325400</v>
      </c>
      <c r="BV208" s="341" t="s">
        <v>79</v>
      </c>
      <c r="BW208" s="341">
        <v>1325400</v>
      </c>
      <c r="CB208" s="341" t="s">
        <v>79</v>
      </c>
      <c r="CC208" s="341">
        <v>1325400</v>
      </c>
      <c r="CH208" s="341" t="s">
        <v>79</v>
      </c>
      <c r="CI208" s="341">
        <v>1325400</v>
      </c>
      <c r="CM208" s="341" t="s">
        <v>79</v>
      </c>
      <c r="CN208" s="341">
        <v>1325400</v>
      </c>
      <c r="CQ208" s="341" t="s">
        <v>79</v>
      </c>
      <c r="CR208" s="341">
        <v>1325400</v>
      </c>
      <c r="CU208" s="341" t="s">
        <v>79</v>
      </c>
      <c r="CV208" s="341">
        <v>1325400</v>
      </c>
      <c r="CY208" s="341" t="s">
        <v>79</v>
      </c>
      <c r="CZ208" s="341">
        <v>1325400</v>
      </c>
      <c r="DC208" s="341" t="s">
        <v>79</v>
      </c>
      <c r="DD208" s="341">
        <v>1325400</v>
      </c>
      <c r="DG208" s="341" t="s">
        <v>79</v>
      </c>
      <c r="DH208" s="341">
        <v>1325400</v>
      </c>
      <c r="DK208" s="341" t="s">
        <v>79</v>
      </c>
      <c r="DL208" s="341">
        <v>1325400</v>
      </c>
      <c r="DO208" s="341" t="s">
        <v>79</v>
      </c>
      <c r="DP208" s="341">
        <v>1325400</v>
      </c>
    </row>
    <row r="209" spans="6:121">
      <c r="F209" s="341" t="s">
        <v>80</v>
      </c>
      <c r="G209" s="341">
        <v>1553900</v>
      </c>
      <c r="K209" s="341" t="s">
        <v>80</v>
      </c>
      <c r="L209" s="341">
        <v>1074300</v>
      </c>
      <c r="P209" s="341" t="s">
        <v>80</v>
      </c>
      <c r="Q209" s="341">
        <v>769400</v>
      </c>
      <c r="U209" s="341" t="s">
        <v>80</v>
      </c>
      <c r="V209" s="341">
        <v>362600</v>
      </c>
      <c r="Y209" s="341" t="s">
        <v>80</v>
      </c>
      <c r="Z209" s="341">
        <v>362600</v>
      </c>
      <c r="AB209"/>
      <c r="AC209" s="341" t="s">
        <v>80</v>
      </c>
      <c r="AD209" s="341">
        <v>362600</v>
      </c>
      <c r="AG209" s="341" t="s">
        <v>80</v>
      </c>
      <c r="AH209" s="341">
        <v>362600</v>
      </c>
      <c r="AK209" s="341" t="s">
        <v>80</v>
      </c>
      <c r="AL209" s="341">
        <v>362600</v>
      </c>
      <c r="AO209" s="341" t="s">
        <v>80</v>
      </c>
      <c r="AP209" s="341">
        <v>362600</v>
      </c>
      <c r="AS209" s="341" t="s">
        <v>80</v>
      </c>
      <c r="AT209" s="341">
        <v>362600</v>
      </c>
      <c r="AY209" s="341" t="s">
        <v>80</v>
      </c>
      <c r="AZ209" s="341">
        <v>362600</v>
      </c>
      <c r="BD209" s="341" t="s">
        <v>80</v>
      </c>
      <c r="BE209" s="341">
        <v>362600</v>
      </c>
      <c r="BI209" s="341" t="s">
        <v>80</v>
      </c>
      <c r="BJ209" s="341">
        <v>362600</v>
      </c>
      <c r="BO209" s="341" t="s">
        <v>80</v>
      </c>
      <c r="BP209" s="341">
        <v>362600</v>
      </c>
      <c r="BV209" s="341" t="s">
        <v>80</v>
      </c>
      <c r="BW209" s="341">
        <v>362600</v>
      </c>
      <c r="CB209" s="341" t="s">
        <v>80</v>
      </c>
      <c r="CC209" s="341">
        <v>362600</v>
      </c>
      <c r="CH209" s="341" t="s">
        <v>80</v>
      </c>
      <c r="CI209" s="341">
        <v>362600</v>
      </c>
      <c r="CM209" s="341" t="s">
        <v>80</v>
      </c>
      <c r="CN209" s="341">
        <v>362600</v>
      </c>
      <c r="CQ209" s="341" t="s">
        <v>80</v>
      </c>
      <c r="CR209" s="341">
        <v>362600</v>
      </c>
      <c r="CU209" s="341" t="s">
        <v>80</v>
      </c>
      <c r="CV209" s="341">
        <v>362600</v>
      </c>
      <c r="CY209" s="341" t="s">
        <v>80</v>
      </c>
      <c r="CZ209" s="341">
        <v>362600</v>
      </c>
      <c r="DC209" s="341" t="s">
        <v>80</v>
      </c>
      <c r="DD209" s="341">
        <v>362600</v>
      </c>
      <c r="DG209" s="341" t="s">
        <v>80</v>
      </c>
      <c r="DH209" s="341">
        <v>362600</v>
      </c>
      <c r="DK209" s="341" t="s">
        <v>80</v>
      </c>
      <c r="DL209" s="341">
        <v>362600</v>
      </c>
      <c r="DO209" s="341" t="s">
        <v>80</v>
      </c>
      <c r="DP209" s="341">
        <v>362600</v>
      </c>
    </row>
    <row r="210" spans="6:121">
      <c r="F210" s="342" t="s">
        <v>608</v>
      </c>
      <c r="G210" s="341"/>
      <c r="K210" s="342" t="s">
        <v>608</v>
      </c>
      <c r="L210" s="341"/>
      <c r="P210" s="342" t="s">
        <v>608</v>
      </c>
      <c r="Q210" s="341"/>
      <c r="U210" s="342" t="s">
        <v>608</v>
      </c>
      <c r="V210" s="341"/>
      <c r="Y210" s="342" t="s">
        <v>608</v>
      </c>
      <c r="Z210" s="341"/>
      <c r="AB210"/>
      <c r="AC210" s="342" t="s">
        <v>608</v>
      </c>
      <c r="AD210" s="341"/>
      <c r="AG210" s="342" t="s">
        <v>608</v>
      </c>
      <c r="AH210" s="341"/>
      <c r="AK210" s="342" t="s">
        <v>608</v>
      </c>
      <c r="AL210" s="341"/>
      <c r="AO210" s="342" t="s">
        <v>608</v>
      </c>
      <c r="AP210" s="341"/>
      <c r="AS210" s="342" t="s">
        <v>608</v>
      </c>
      <c r="AT210" s="341"/>
      <c r="AY210" s="342" t="s">
        <v>608</v>
      </c>
      <c r="AZ210" s="341"/>
      <c r="BD210" s="342" t="s">
        <v>608</v>
      </c>
      <c r="BE210" s="341"/>
      <c r="BI210" s="342" t="s">
        <v>608</v>
      </c>
      <c r="BJ210" s="341"/>
      <c r="BO210" s="342" t="s">
        <v>608</v>
      </c>
      <c r="BP210" s="341"/>
      <c r="BV210" s="342" t="s">
        <v>608</v>
      </c>
      <c r="BW210" s="341"/>
      <c r="CB210" s="342" t="s">
        <v>608</v>
      </c>
      <c r="CC210" s="341"/>
      <c r="CH210" s="342" t="s">
        <v>608</v>
      </c>
      <c r="CI210" s="341"/>
      <c r="CM210" s="342" t="s">
        <v>608</v>
      </c>
      <c r="CN210" s="341"/>
      <c r="CQ210" s="342" t="s">
        <v>608</v>
      </c>
      <c r="CR210" s="341"/>
      <c r="CU210" s="342" t="s">
        <v>608</v>
      </c>
      <c r="CV210" s="341"/>
      <c r="CY210" s="342" t="s">
        <v>608</v>
      </c>
      <c r="CZ210" s="341"/>
      <c r="DC210" s="342" t="s">
        <v>608</v>
      </c>
      <c r="DD210" s="341"/>
      <c r="DG210" s="342" t="s">
        <v>608</v>
      </c>
      <c r="DH210" s="341"/>
      <c r="DK210" s="342" t="s">
        <v>608</v>
      </c>
      <c r="DL210" s="341"/>
      <c r="DO210" s="342" t="s">
        <v>608</v>
      </c>
      <c r="DP210" s="341"/>
    </row>
    <row r="211" spans="6:121">
      <c r="F211" s="341" t="s">
        <v>154</v>
      </c>
      <c r="G211" s="341">
        <v>143500</v>
      </c>
      <c r="K211" s="341" t="s">
        <v>154</v>
      </c>
      <c r="L211" s="341">
        <v>140000</v>
      </c>
      <c r="P211" s="341" t="s">
        <v>154</v>
      </c>
      <c r="Q211" s="341">
        <v>169900</v>
      </c>
      <c r="U211" s="341" t="s">
        <v>154</v>
      </c>
      <c r="V211" s="341">
        <v>172800</v>
      </c>
      <c r="Y211" s="341" t="s">
        <v>154</v>
      </c>
      <c r="Z211" s="341">
        <v>172800</v>
      </c>
      <c r="AB211"/>
      <c r="AC211" s="341" t="s">
        <v>154</v>
      </c>
      <c r="AD211" s="341">
        <v>172800</v>
      </c>
      <c r="AG211" s="341" t="s">
        <v>154</v>
      </c>
      <c r="AH211" s="341">
        <v>172800</v>
      </c>
      <c r="AK211" s="341" t="s">
        <v>154</v>
      </c>
      <c r="AL211" s="341">
        <v>172800</v>
      </c>
      <c r="AO211" s="341" t="s">
        <v>154</v>
      </c>
      <c r="AP211" s="341">
        <v>172800</v>
      </c>
      <c r="AS211" s="341" t="s">
        <v>154</v>
      </c>
      <c r="AT211" s="341">
        <v>172800</v>
      </c>
      <c r="AY211" s="341" t="s">
        <v>154</v>
      </c>
      <c r="AZ211" s="341">
        <v>172800</v>
      </c>
      <c r="BD211" s="341" t="s">
        <v>154</v>
      </c>
      <c r="BE211" s="341">
        <v>172800</v>
      </c>
      <c r="BI211" s="341" t="s">
        <v>154</v>
      </c>
      <c r="BJ211" s="341">
        <v>172800</v>
      </c>
      <c r="BO211" s="341" t="s">
        <v>154</v>
      </c>
      <c r="BP211" s="341">
        <v>172800</v>
      </c>
      <c r="BV211" s="341" t="s">
        <v>154</v>
      </c>
      <c r="BW211" s="341">
        <v>172800</v>
      </c>
      <c r="CB211" s="341" t="s">
        <v>154</v>
      </c>
      <c r="CC211" s="341">
        <v>172800</v>
      </c>
      <c r="CH211" s="341" t="s">
        <v>154</v>
      </c>
      <c r="CI211" s="341">
        <v>172800</v>
      </c>
      <c r="CM211" s="341" t="s">
        <v>154</v>
      </c>
      <c r="CN211" s="341">
        <v>172800</v>
      </c>
      <c r="CQ211" s="341" t="s">
        <v>154</v>
      </c>
      <c r="CR211" s="341">
        <v>172800</v>
      </c>
      <c r="CU211" s="341" t="s">
        <v>154</v>
      </c>
      <c r="CV211" s="341">
        <v>172800</v>
      </c>
      <c r="CY211" s="341" t="s">
        <v>154</v>
      </c>
      <c r="CZ211" s="341">
        <v>172800</v>
      </c>
      <c r="DC211" s="341" t="s">
        <v>154</v>
      </c>
      <c r="DD211" s="341">
        <v>172800</v>
      </c>
      <c r="DG211" s="341" t="s">
        <v>154</v>
      </c>
      <c r="DH211" s="341">
        <v>172800</v>
      </c>
      <c r="DK211" s="341" t="s">
        <v>154</v>
      </c>
      <c r="DL211" s="341">
        <v>172800</v>
      </c>
      <c r="DO211" s="341" t="s">
        <v>154</v>
      </c>
      <c r="DP211" s="341">
        <v>172800</v>
      </c>
    </row>
    <row r="212" spans="6:121">
      <c r="F212" s="341" t="s">
        <v>126</v>
      </c>
      <c r="G212" s="341">
        <v>3423800</v>
      </c>
      <c r="K212" s="341" t="s">
        <v>126</v>
      </c>
      <c r="L212" s="341">
        <v>2151600</v>
      </c>
      <c r="P212" s="341" t="s">
        <v>126</v>
      </c>
      <c r="Q212" s="341">
        <v>3643500</v>
      </c>
      <c r="U212" s="341" t="s">
        <v>126</v>
      </c>
      <c r="V212" s="341">
        <v>7967000</v>
      </c>
      <c r="Y212" s="341" t="s">
        <v>126</v>
      </c>
      <c r="Z212" s="341">
        <v>7967000</v>
      </c>
      <c r="AB212"/>
      <c r="AC212" s="341" t="s">
        <v>126</v>
      </c>
      <c r="AD212" s="341">
        <v>7967000</v>
      </c>
      <c r="AG212" s="341" t="s">
        <v>126</v>
      </c>
      <c r="AH212" s="341">
        <v>7967000</v>
      </c>
      <c r="AK212" s="341" t="s">
        <v>126</v>
      </c>
      <c r="AL212" s="341">
        <v>7967000</v>
      </c>
      <c r="AO212" s="341" t="s">
        <v>126</v>
      </c>
      <c r="AP212" s="341">
        <v>7967000</v>
      </c>
      <c r="AS212" s="341" t="s">
        <v>126</v>
      </c>
      <c r="AT212" s="341">
        <v>7967000</v>
      </c>
      <c r="AY212" s="341" t="s">
        <v>126</v>
      </c>
      <c r="AZ212" s="341">
        <v>7967000</v>
      </c>
      <c r="BD212" s="341" t="s">
        <v>126</v>
      </c>
      <c r="BE212" s="341">
        <v>7967000</v>
      </c>
      <c r="BI212" s="341" t="s">
        <v>126</v>
      </c>
      <c r="BJ212" s="341">
        <v>7967000</v>
      </c>
      <c r="BO212" s="341" t="s">
        <v>126</v>
      </c>
      <c r="BP212" s="341">
        <v>7967000</v>
      </c>
      <c r="BV212" s="341" t="s">
        <v>126</v>
      </c>
      <c r="BW212" s="341">
        <v>7967000</v>
      </c>
      <c r="CB212" s="341" t="s">
        <v>126</v>
      </c>
      <c r="CC212" s="341">
        <v>7967000</v>
      </c>
      <c r="CH212" s="341" t="s">
        <v>126</v>
      </c>
      <c r="CI212" s="341">
        <v>7967000</v>
      </c>
      <c r="CM212" s="341" t="s">
        <v>126</v>
      </c>
      <c r="CN212" s="341">
        <v>7967000</v>
      </c>
      <c r="CQ212" s="341" t="s">
        <v>126</v>
      </c>
      <c r="CR212" s="341">
        <v>7967000</v>
      </c>
      <c r="CU212" s="341" t="s">
        <v>126</v>
      </c>
      <c r="CV212" s="341">
        <v>7967000</v>
      </c>
      <c r="CY212" s="341" t="s">
        <v>126</v>
      </c>
      <c r="CZ212" s="341">
        <v>7967000</v>
      </c>
      <c r="DC212" s="341" t="s">
        <v>126</v>
      </c>
      <c r="DD212" s="341">
        <v>7967000</v>
      </c>
      <c r="DG212" s="341" t="s">
        <v>126</v>
      </c>
      <c r="DH212" s="341">
        <v>7967000</v>
      </c>
      <c r="DK212" s="341" t="s">
        <v>126</v>
      </c>
      <c r="DL212" s="341">
        <v>7967000</v>
      </c>
      <c r="DO212" s="341" t="s">
        <v>126</v>
      </c>
      <c r="DP212" s="341">
        <v>7967000</v>
      </c>
    </row>
    <row r="213" spans="6:121">
      <c r="F213" s="341" t="s">
        <v>156</v>
      </c>
      <c r="G213" s="341">
        <v>5136200</v>
      </c>
      <c r="K213" s="341" t="s">
        <v>156</v>
      </c>
      <c r="L213" s="341">
        <v>4692200</v>
      </c>
      <c r="P213" s="341" t="s">
        <v>156</v>
      </c>
      <c r="Q213" s="341">
        <v>4672000</v>
      </c>
      <c r="U213" s="341" t="s">
        <v>156</v>
      </c>
      <c r="V213" s="341">
        <v>9958000</v>
      </c>
      <c r="Y213" s="341" t="s">
        <v>156</v>
      </c>
      <c r="Z213" s="341">
        <v>9958000</v>
      </c>
      <c r="AB213"/>
      <c r="AC213" s="341" t="s">
        <v>156</v>
      </c>
      <c r="AD213" s="341">
        <v>9958000</v>
      </c>
      <c r="AG213" s="341" t="s">
        <v>156</v>
      </c>
      <c r="AH213" s="341">
        <v>9958000</v>
      </c>
      <c r="AK213" s="341" t="s">
        <v>156</v>
      </c>
      <c r="AL213" s="341">
        <v>9958000</v>
      </c>
      <c r="AO213" s="341" t="s">
        <v>156</v>
      </c>
      <c r="AP213" s="341">
        <v>9958000</v>
      </c>
      <c r="AS213" s="341" t="s">
        <v>156</v>
      </c>
      <c r="AT213" s="341">
        <v>9958000</v>
      </c>
      <c r="AY213" s="341" t="s">
        <v>156</v>
      </c>
      <c r="AZ213" s="341">
        <v>9958000</v>
      </c>
      <c r="BD213" s="341" t="s">
        <v>156</v>
      </c>
      <c r="BE213" s="341">
        <v>9958000</v>
      </c>
      <c r="BI213" s="341" t="s">
        <v>156</v>
      </c>
      <c r="BJ213" s="341">
        <v>9958000</v>
      </c>
      <c r="BO213" s="341" t="s">
        <v>156</v>
      </c>
      <c r="BP213" s="341">
        <v>9958000</v>
      </c>
      <c r="BV213" s="341" t="s">
        <v>156</v>
      </c>
      <c r="BW213" s="341">
        <v>9958000</v>
      </c>
      <c r="CB213" s="341" t="s">
        <v>156</v>
      </c>
      <c r="CC213" s="341">
        <v>9958000</v>
      </c>
      <c r="CH213" s="341" t="s">
        <v>156</v>
      </c>
      <c r="CI213" s="341">
        <v>9958000</v>
      </c>
      <c r="CM213" s="341" t="s">
        <v>156</v>
      </c>
      <c r="CN213" s="341">
        <v>9958000</v>
      </c>
      <c r="CQ213" s="341" t="s">
        <v>156</v>
      </c>
      <c r="CR213" s="341">
        <v>9958000</v>
      </c>
      <c r="CU213" s="341" t="s">
        <v>156</v>
      </c>
      <c r="CV213" s="341">
        <v>9958000</v>
      </c>
      <c r="CY213" s="341" t="s">
        <v>156</v>
      </c>
      <c r="CZ213" s="341">
        <v>9958000</v>
      </c>
      <c r="DC213" s="341" t="s">
        <v>156</v>
      </c>
      <c r="DD213" s="341">
        <v>9958000</v>
      </c>
      <c r="DG213" s="341" t="s">
        <v>156</v>
      </c>
      <c r="DH213" s="341">
        <v>9958000</v>
      </c>
      <c r="DK213" s="341" t="s">
        <v>156</v>
      </c>
      <c r="DL213" s="341">
        <v>9958000</v>
      </c>
      <c r="DO213" s="341" t="s">
        <v>156</v>
      </c>
      <c r="DP213" s="341">
        <v>9958000</v>
      </c>
    </row>
    <row r="214" spans="6:121">
      <c r="F214" s="342" t="s">
        <v>609</v>
      </c>
      <c r="G214" s="341"/>
      <c r="K214" s="342" t="s">
        <v>609</v>
      </c>
      <c r="L214" s="341"/>
      <c r="P214" s="342" t="s">
        <v>609</v>
      </c>
      <c r="Q214" s="341"/>
      <c r="U214" s="342" t="s">
        <v>609</v>
      </c>
      <c r="V214" s="341"/>
      <c r="Y214" s="342" t="s">
        <v>609</v>
      </c>
      <c r="Z214" s="341"/>
      <c r="AB214"/>
      <c r="AC214" s="342" t="s">
        <v>609</v>
      </c>
      <c r="AD214" s="341"/>
      <c r="AG214" s="342" t="s">
        <v>609</v>
      </c>
      <c r="AH214" s="341"/>
      <c r="AK214" s="342" t="s">
        <v>609</v>
      </c>
      <c r="AL214" s="341"/>
      <c r="AO214" s="342" t="s">
        <v>609</v>
      </c>
      <c r="AP214" s="341"/>
      <c r="AS214" s="342" t="s">
        <v>609</v>
      </c>
      <c r="AT214" s="341"/>
      <c r="AY214" s="342" t="s">
        <v>609</v>
      </c>
      <c r="AZ214" s="341"/>
      <c r="BD214" s="342" t="s">
        <v>609</v>
      </c>
      <c r="BE214" s="341"/>
      <c r="BI214" s="342" t="s">
        <v>609</v>
      </c>
      <c r="BJ214" s="341"/>
      <c r="BO214" s="342" t="s">
        <v>609</v>
      </c>
      <c r="BP214" s="341"/>
      <c r="BV214" s="342" t="s">
        <v>609</v>
      </c>
      <c r="BW214" s="341"/>
      <c r="CB214" s="342" t="s">
        <v>609</v>
      </c>
      <c r="CC214" s="341"/>
      <c r="CH214" s="342" t="s">
        <v>609</v>
      </c>
      <c r="CI214" s="341"/>
      <c r="CM214" s="342" t="s">
        <v>609</v>
      </c>
      <c r="CN214" s="341"/>
      <c r="CQ214" s="342" t="s">
        <v>609</v>
      </c>
      <c r="CR214" s="341"/>
      <c r="CU214" s="342" t="s">
        <v>609</v>
      </c>
      <c r="CV214" s="341"/>
      <c r="CY214" s="342" t="s">
        <v>609</v>
      </c>
      <c r="CZ214" s="341"/>
      <c r="DC214" s="342" t="s">
        <v>609</v>
      </c>
      <c r="DD214" s="341"/>
      <c r="DG214" s="342" t="s">
        <v>609</v>
      </c>
      <c r="DH214" s="341"/>
      <c r="DK214" s="342" t="s">
        <v>609</v>
      </c>
      <c r="DL214" s="341"/>
      <c r="DO214" s="342" t="s">
        <v>609</v>
      </c>
      <c r="DP214" s="341"/>
    </row>
    <row r="215" spans="6:121">
      <c r="F215" s="341" t="s">
        <v>832</v>
      </c>
      <c r="G215" s="341">
        <v>7917800</v>
      </c>
      <c r="K215" s="341" t="s">
        <v>832</v>
      </c>
      <c r="L215" s="341">
        <v>6039100</v>
      </c>
      <c r="P215" s="341" t="s">
        <v>832</v>
      </c>
      <c r="Q215" s="341">
        <v>2683900</v>
      </c>
      <c r="U215" s="341" t="s">
        <v>832</v>
      </c>
      <c r="V215" s="341">
        <v>4801800</v>
      </c>
      <c r="Y215" s="341" t="s">
        <v>832</v>
      </c>
      <c r="Z215" s="341">
        <v>4801800</v>
      </c>
      <c r="AB215"/>
      <c r="AC215" s="341" t="s">
        <v>832</v>
      </c>
      <c r="AD215" s="341">
        <v>4801800</v>
      </c>
      <c r="AG215" s="341" t="s">
        <v>832</v>
      </c>
      <c r="AH215" s="341">
        <v>4801800</v>
      </c>
      <c r="AK215" s="341" t="s">
        <v>832</v>
      </c>
      <c r="AL215" s="341">
        <v>4801800</v>
      </c>
      <c r="AO215" s="341" t="s">
        <v>832</v>
      </c>
      <c r="AP215" s="341">
        <v>4801800</v>
      </c>
      <c r="AS215" s="341" t="s">
        <v>832</v>
      </c>
      <c r="AT215" s="341">
        <v>4801800</v>
      </c>
      <c r="AY215" s="341" t="s">
        <v>832</v>
      </c>
      <c r="AZ215" s="341">
        <v>4801800</v>
      </c>
      <c r="BD215" s="341" t="s">
        <v>832</v>
      </c>
      <c r="BE215" s="341">
        <v>4801800</v>
      </c>
      <c r="BI215" s="341" t="s">
        <v>832</v>
      </c>
      <c r="BJ215" s="341">
        <v>4801800</v>
      </c>
      <c r="BO215" s="341" t="s">
        <v>832</v>
      </c>
      <c r="BP215" s="341">
        <v>4801800</v>
      </c>
      <c r="BV215" s="341" t="s">
        <v>832</v>
      </c>
      <c r="BW215" s="341">
        <v>4801800</v>
      </c>
      <c r="CB215" s="341" t="s">
        <v>832</v>
      </c>
      <c r="CC215" s="341">
        <v>4801800</v>
      </c>
      <c r="CH215" s="341" t="s">
        <v>832</v>
      </c>
      <c r="CI215" s="341">
        <v>4801800</v>
      </c>
      <c r="CM215" s="341" t="s">
        <v>832</v>
      </c>
      <c r="CN215" s="341">
        <v>4801800</v>
      </c>
      <c r="CQ215" s="341" t="s">
        <v>832</v>
      </c>
      <c r="CR215" s="341">
        <v>4801800</v>
      </c>
      <c r="CU215" s="341" t="s">
        <v>832</v>
      </c>
      <c r="CV215" s="341">
        <v>4801800</v>
      </c>
      <c r="CY215" s="341" t="s">
        <v>832</v>
      </c>
      <c r="CZ215" s="341">
        <v>4801800</v>
      </c>
      <c r="DC215" s="341" t="s">
        <v>832</v>
      </c>
      <c r="DD215" s="341">
        <v>4801800</v>
      </c>
      <c r="DG215" s="341" t="s">
        <v>832</v>
      </c>
      <c r="DH215" s="341">
        <v>4801800</v>
      </c>
      <c r="DK215" s="341" t="s">
        <v>832</v>
      </c>
      <c r="DL215" s="341">
        <v>4801800</v>
      </c>
      <c r="DO215" s="341" t="s">
        <v>832</v>
      </c>
      <c r="DP215" s="341">
        <v>4801800</v>
      </c>
    </row>
    <row r="216" spans="6:121">
      <c r="F216" s="341" t="s">
        <v>829</v>
      </c>
      <c r="G216" s="341">
        <v>14736900</v>
      </c>
      <c r="K216" s="341" t="s">
        <v>829</v>
      </c>
      <c r="L216" s="341">
        <v>10928300</v>
      </c>
      <c r="P216" s="341" t="s">
        <v>829</v>
      </c>
      <c r="Q216" s="341">
        <v>1763800</v>
      </c>
      <c r="U216" s="341" t="s">
        <v>829</v>
      </c>
      <c r="V216" s="341">
        <v>17350000</v>
      </c>
      <c r="Y216" s="341" t="s">
        <v>829</v>
      </c>
      <c r="Z216" s="341">
        <v>17350000</v>
      </c>
      <c r="AB216"/>
      <c r="AC216" s="341" t="s">
        <v>829</v>
      </c>
      <c r="AD216" s="341">
        <v>17350000</v>
      </c>
      <c r="AG216" s="341" t="s">
        <v>829</v>
      </c>
      <c r="AH216" s="341">
        <v>17350000</v>
      </c>
      <c r="AK216" s="341" t="s">
        <v>829</v>
      </c>
      <c r="AL216" s="341">
        <v>17350000</v>
      </c>
      <c r="AO216" s="341" t="s">
        <v>829</v>
      </c>
      <c r="AP216" s="341">
        <v>17350000</v>
      </c>
      <c r="AS216" s="341" t="s">
        <v>829</v>
      </c>
      <c r="AT216" s="341">
        <v>17350000</v>
      </c>
      <c r="AY216" s="341" t="s">
        <v>829</v>
      </c>
      <c r="AZ216" s="341">
        <v>17350000</v>
      </c>
      <c r="BD216" s="341" t="s">
        <v>829</v>
      </c>
      <c r="BE216" s="341">
        <v>17350000</v>
      </c>
      <c r="BI216" s="341" t="s">
        <v>829</v>
      </c>
      <c r="BJ216" s="341">
        <v>17350000</v>
      </c>
      <c r="BO216" s="341" t="s">
        <v>829</v>
      </c>
      <c r="BP216" s="341">
        <v>17350000</v>
      </c>
      <c r="BV216" s="341" t="s">
        <v>829</v>
      </c>
      <c r="BW216" s="341">
        <v>17350000</v>
      </c>
      <c r="CB216" s="341" t="s">
        <v>829</v>
      </c>
      <c r="CC216" s="341">
        <v>17350000</v>
      </c>
      <c r="CH216" s="341" t="s">
        <v>829</v>
      </c>
      <c r="CI216" s="341">
        <v>17350000</v>
      </c>
      <c r="CM216" s="341" t="s">
        <v>829</v>
      </c>
      <c r="CN216" s="341">
        <v>17350000</v>
      </c>
      <c r="CQ216" s="341" t="s">
        <v>829</v>
      </c>
      <c r="CR216" s="341">
        <v>17350000</v>
      </c>
      <c r="CU216" s="341" t="s">
        <v>829</v>
      </c>
      <c r="CV216" s="341">
        <v>17350000</v>
      </c>
      <c r="CY216" s="341" t="s">
        <v>829</v>
      </c>
      <c r="CZ216" s="341">
        <v>17350000</v>
      </c>
      <c r="DC216" s="341" t="s">
        <v>829</v>
      </c>
      <c r="DD216" s="341">
        <v>17350000</v>
      </c>
      <c r="DG216" s="341" t="s">
        <v>829</v>
      </c>
      <c r="DH216" s="341">
        <v>17350000</v>
      </c>
      <c r="DK216" s="341" t="s">
        <v>829</v>
      </c>
      <c r="DL216" s="341">
        <v>17350000</v>
      </c>
      <c r="DO216" s="341" t="s">
        <v>829</v>
      </c>
      <c r="DP216" s="341">
        <v>17350000</v>
      </c>
    </row>
    <row r="217" spans="6:121">
      <c r="F217" s="341" t="s">
        <v>827</v>
      </c>
      <c r="G217" s="341">
        <v>5789700</v>
      </c>
      <c r="K217" s="341" t="s">
        <v>827</v>
      </c>
      <c r="L217" s="341">
        <v>4236000</v>
      </c>
      <c r="P217" s="341" t="s">
        <v>827</v>
      </c>
      <c r="Q217" s="341">
        <v>3709100</v>
      </c>
      <c r="U217" s="341" t="s">
        <v>827</v>
      </c>
      <c r="V217" s="341">
        <v>2452500</v>
      </c>
      <c r="Y217" s="341" t="s">
        <v>827</v>
      </c>
      <c r="Z217" s="341">
        <v>2452500</v>
      </c>
      <c r="AB217"/>
      <c r="AC217" s="341" t="s">
        <v>827</v>
      </c>
      <c r="AD217" s="341">
        <v>2452500</v>
      </c>
      <c r="AG217" s="341" t="s">
        <v>827</v>
      </c>
      <c r="AH217" s="341">
        <v>2452500</v>
      </c>
      <c r="AK217" s="341" t="s">
        <v>827</v>
      </c>
      <c r="AL217" s="341">
        <v>2452500</v>
      </c>
      <c r="AO217" s="341" t="s">
        <v>827</v>
      </c>
      <c r="AP217" s="341">
        <v>2452500</v>
      </c>
      <c r="AS217" s="341" t="s">
        <v>827</v>
      </c>
      <c r="AT217" s="341">
        <v>2452500</v>
      </c>
      <c r="AY217" s="341" t="s">
        <v>827</v>
      </c>
      <c r="AZ217" s="341">
        <v>2452500</v>
      </c>
      <c r="BD217" s="341" t="s">
        <v>827</v>
      </c>
      <c r="BE217" s="341">
        <v>2452500</v>
      </c>
      <c r="BI217" s="341" t="s">
        <v>827</v>
      </c>
      <c r="BJ217" s="341">
        <v>2452500</v>
      </c>
      <c r="BO217" s="341" t="s">
        <v>827</v>
      </c>
      <c r="BP217" s="341">
        <v>2452500</v>
      </c>
      <c r="BV217" s="341" t="s">
        <v>827</v>
      </c>
      <c r="BW217" s="341">
        <v>2452500</v>
      </c>
      <c r="CB217" s="341" t="s">
        <v>827</v>
      </c>
      <c r="CC217" s="341">
        <v>2452500</v>
      </c>
      <c r="CH217" s="341" t="s">
        <v>827</v>
      </c>
      <c r="CI217" s="341">
        <v>2452500</v>
      </c>
      <c r="CM217" s="341" t="s">
        <v>827</v>
      </c>
      <c r="CN217" s="341">
        <v>2452500</v>
      </c>
      <c r="CQ217" s="341" t="s">
        <v>827</v>
      </c>
      <c r="CR217" s="341">
        <v>2452500</v>
      </c>
      <c r="CU217" s="341" t="s">
        <v>827</v>
      </c>
      <c r="CV217" s="341">
        <v>2452500</v>
      </c>
      <c r="CY217" s="341" t="s">
        <v>827</v>
      </c>
      <c r="CZ217" s="341">
        <v>2452500</v>
      </c>
      <c r="DC217" s="341" t="s">
        <v>827</v>
      </c>
      <c r="DD217" s="341">
        <v>2452500</v>
      </c>
      <c r="DG217" s="341" t="s">
        <v>827</v>
      </c>
      <c r="DH217" s="341">
        <v>2452500</v>
      </c>
      <c r="DK217" s="341" t="s">
        <v>827</v>
      </c>
      <c r="DL217" s="341">
        <v>2452500</v>
      </c>
      <c r="DO217" s="341" t="s">
        <v>827</v>
      </c>
      <c r="DP217" s="341">
        <v>2452500</v>
      </c>
    </row>
    <row r="218" spans="6:121">
      <c r="F218" s="341" t="s">
        <v>826</v>
      </c>
      <c r="G218" s="341">
        <v>4161100</v>
      </c>
      <c r="K218" s="341" t="s">
        <v>835</v>
      </c>
      <c r="L218" s="341">
        <v>620200</v>
      </c>
      <c r="P218" s="341" t="s">
        <v>835</v>
      </c>
      <c r="Q218" s="341">
        <v>369300</v>
      </c>
      <c r="U218" s="341" t="s">
        <v>835</v>
      </c>
      <c r="V218" s="341">
        <v>220700</v>
      </c>
      <c r="Y218" s="341" t="s">
        <v>835</v>
      </c>
      <c r="Z218" s="341">
        <v>220700</v>
      </c>
      <c r="AB218"/>
      <c r="AC218" s="341" t="s">
        <v>835</v>
      </c>
      <c r="AD218" s="341">
        <v>220700</v>
      </c>
      <c r="AG218" s="341" t="s">
        <v>835</v>
      </c>
      <c r="AH218" s="341">
        <v>220700</v>
      </c>
      <c r="AK218" s="341" t="s">
        <v>835</v>
      </c>
      <c r="AL218" s="341">
        <v>220700</v>
      </c>
      <c r="AO218" s="341" t="s">
        <v>835</v>
      </c>
      <c r="AP218" s="341">
        <v>220700</v>
      </c>
      <c r="AS218" s="341" t="s">
        <v>835</v>
      </c>
      <c r="AT218" s="341">
        <v>220700</v>
      </c>
      <c r="AY218" s="341" t="s">
        <v>835</v>
      </c>
      <c r="AZ218" s="341">
        <v>220700</v>
      </c>
      <c r="BD218" s="341" t="s">
        <v>835</v>
      </c>
      <c r="BE218" s="341">
        <v>220700</v>
      </c>
      <c r="BI218" s="341" t="s">
        <v>835</v>
      </c>
      <c r="BJ218" s="341">
        <v>220700</v>
      </c>
      <c r="BO218" s="341" t="s">
        <v>835</v>
      </c>
      <c r="BP218" s="341">
        <v>220700</v>
      </c>
      <c r="BV218" s="341" t="s">
        <v>835</v>
      </c>
      <c r="BW218" s="341">
        <v>220700</v>
      </c>
      <c r="CB218" s="341" t="s">
        <v>835</v>
      </c>
      <c r="CC218" s="341">
        <v>220700</v>
      </c>
      <c r="CH218" s="341" t="s">
        <v>835</v>
      </c>
      <c r="CI218" s="341">
        <v>220700</v>
      </c>
      <c r="CM218" s="341" t="s">
        <v>835</v>
      </c>
      <c r="CN218" s="341">
        <v>220700</v>
      </c>
      <c r="CQ218" s="341" t="s">
        <v>835</v>
      </c>
      <c r="CR218" s="341">
        <v>220700</v>
      </c>
      <c r="CU218" s="341" t="s">
        <v>835</v>
      </c>
      <c r="CV218" s="341">
        <v>220700</v>
      </c>
      <c r="CY218" s="341" t="s">
        <v>835</v>
      </c>
      <c r="CZ218" s="341">
        <v>220700</v>
      </c>
      <c r="DC218" s="341" t="s">
        <v>835</v>
      </c>
      <c r="DD218" s="341">
        <v>220700</v>
      </c>
      <c r="DG218" s="341" t="s">
        <v>835</v>
      </c>
      <c r="DH218" s="341">
        <v>220700</v>
      </c>
      <c r="DK218" s="341" t="s">
        <v>835</v>
      </c>
      <c r="DL218" s="341">
        <v>220700</v>
      </c>
      <c r="DO218" s="341" t="s">
        <v>835</v>
      </c>
      <c r="DP218" s="341">
        <v>220700</v>
      </c>
    </row>
    <row r="219" spans="6:121">
      <c r="F219" s="341" t="s">
        <v>142</v>
      </c>
      <c r="G219" s="341">
        <f>G220*(H219/H220)^0.67</f>
        <v>7671489.731092588</v>
      </c>
      <c r="H219" s="288">
        <v>3472915.7332600001</v>
      </c>
      <c r="I219" s="288" t="s">
        <v>1087</v>
      </c>
      <c r="K219" s="341" t="s">
        <v>142</v>
      </c>
      <c r="L219" s="341">
        <f>L220*(M219/M220)^0.67</f>
        <v>6260948.2326420378</v>
      </c>
      <c r="M219" s="288">
        <v>2628662.8881199998</v>
      </c>
      <c r="N219" s="288" t="s">
        <v>1087</v>
      </c>
      <c r="P219" s="341" t="s">
        <v>142</v>
      </c>
      <c r="Q219" s="341">
        <f>Q220*(R219/R220)^0.67</f>
        <v>5254890.4093984189</v>
      </c>
      <c r="R219" s="288">
        <v>2154105.1575199999</v>
      </c>
      <c r="S219" s="288" t="s">
        <v>1087</v>
      </c>
      <c r="U219" s="341" t="s">
        <v>142</v>
      </c>
      <c r="V219" s="341">
        <f>V220*(W219/W220)^0.67</f>
        <v>4955600.7639740808</v>
      </c>
      <c r="W219" s="288">
        <v>1924257.2342000001</v>
      </c>
      <c r="X219" s="288" t="s">
        <v>657</v>
      </c>
      <c r="Y219" s="341" t="s">
        <v>142</v>
      </c>
      <c r="Z219" s="341">
        <f>Z220*(AA219/AA220)^0.67</f>
        <v>4955600.7639740808</v>
      </c>
      <c r="AA219" s="288">
        <v>1924257.2342000001</v>
      </c>
      <c r="AB219"/>
      <c r="AC219" s="341" t="s">
        <v>142</v>
      </c>
      <c r="AD219" s="341">
        <f>AD220*(AE219/AE220)^0.67</f>
        <v>4955600.7639740808</v>
      </c>
      <c r="AE219" s="288">
        <v>1924257.2342000001</v>
      </c>
      <c r="AG219" s="341" t="s">
        <v>142</v>
      </c>
      <c r="AH219" s="341">
        <f>AH220*(AI219/AI220)^0.67</f>
        <v>4955600.7639740808</v>
      </c>
      <c r="AI219" s="288">
        <v>1924257.2342000001</v>
      </c>
      <c r="AK219" s="341" t="s">
        <v>142</v>
      </c>
      <c r="AL219" s="341">
        <f>AL220*(AM219/AM220)^0.67</f>
        <v>4955600.7639740808</v>
      </c>
      <c r="AM219" s="288">
        <v>1924257.2342000001</v>
      </c>
      <c r="AO219" s="341" t="s">
        <v>142</v>
      </c>
      <c r="AP219" s="341">
        <f>AP220*(AQ219/AQ220)^0.67</f>
        <v>4955600.7639740808</v>
      </c>
      <c r="AQ219" s="288">
        <v>1924257.2342000001</v>
      </c>
      <c r="AS219" s="341" t="s">
        <v>142</v>
      </c>
      <c r="AT219" s="341">
        <f>AT220*(AU219/AU220)^0.67</f>
        <v>4955600.7639740808</v>
      </c>
      <c r="AU219" s="288">
        <v>1924257.2342000001</v>
      </c>
      <c r="AY219" s="341" t="s">
        <v>142</v>
      </c>
      <c r="AZ219" s="341">
        <f>AZ220*(BA219/BA220)^0.67</f>
        <v>4955600.7639740808</v>
      </c>
      <c r="BA219" s="288">
        <v>1924257.2342000001</v>
      </c>
      <c r="BD219" s="341" t="s">
        <v>142</v>
      </c>
      <c r="BE219" s="341">
        <f>BE220*(BF219/BF220)^0.67</f>
        <v>4955600.7639740808</v>
      </c>
      <c r="BF219" s="288">
        <v>1924257.2342000001</v>
      </c>
      <c r="BI219" s="341" t="s">
        <v>142</v>
      </c>
      <c r="BJ219" s="341">
        <f>BJ220*(BK219/BK220)^0.67</f>
        <v>4955600.7639740808</v>
      </c>
      <c r="BK219" s="288">
        <v>1924257.2342000001</v>
      </c>
      <c r="BO219" s="341" t="s">
        <v>142</v>
      </c>
      <c r="BP219" s="341">
        <f>BP220*(BQ219/BQ220)^0.67</f>
        <v>4955600.7639740808</v>
      </c>
      <c r="BQ219" s="288">
        <v>1924257.2342000001</v>
      </c>
      <c r="BV219" s="341" t="s">
        <v>142</v>
      </c>
      <c r="BW219" s="341">
        <f>BW220*(BX219/BX220)^0.67</f>
        <v>4955600.7639740808</v>
      </c>
      <c r="BX219" s="288">
        <v>1924257.2342000001</v>
      </c>
      <c r="CB219" s="341" t="s">
        <v>142</v>
      </c>
      <c r="CC219" s="341">
        <f>CC220*(CD219/CD220)^0.67</f>
        <v>4955600.7639740808</v>
      </c>
      <c r="CD219" s="288">
        <v>1924257.2342000001</v>
      </c>
      <c r="CH219" s="341" t="s">
        <v>142</v>
      </c>
      <c r="CI219" s="341">
        <f>CI220*(CJ219/CJ220)^0.67</f>
        <v>4955600.7639740808</v>
      </c>
      <c r="CJ219" s="288">
        <v>1924257.2342000001</v>
      </c>
      <c r="CM219" s="341" t="s">
        <v>142</v>
      </c>
      <c r="CN219" s="341">
        <f>CN220*(CO219/CO220)^0.67</f>
        <v>4955600.7639740808</v>
      </c>
      <c r="CO219" s="288">
        <v>1924257.2342000001</v>
      </c>
      <c r="CQ219" s="341" t="s">
        <v>142</v>
      </c>
      <c r="CR219" s="341">
        <f>CR220*(CS219/CS220)^0.67</f>
        <v>4955600.7639740808</v>
      </c>
      <c r="CS219" s="288">
        <v>1924257.2342000001</v>
      </c>
      <c r="CU219" s="341" t="s">
        <v>142</v>
      </c>
      <c r="CV219" s="341">
        <f>CV220*(CW219/CW220)^0.67</f>
        <v>4955600.7639740808</v>
      </c>
      <c r="CW219" s="288">
        <v>1924257.2342000001</v>
      </c>
      <c r="CY219" s="341" t="s">
        <v>142</v>
      </c>
      <c r="CZ219" s="341">
        <f>CZ220*(DA219/DA220)^0.67</f>
        <v>4955600.7639740808</v>
      </c>
      <c r="DA219" s="288">
        <v>1924257.2342000001</v>
      </c>
      <c r="DC219" s="341" t="s">
        <v>142</v>
      </c>
      <c r="DD219" s="341">
        <f>DD220*(DE219/DE220)^0.67</f>
        <v>4955600.7639740808</v>
      </c>
      <c r="DE219" s="288">
        <v>1924257.2342000001</v>
      </c>
      <c r="DG219" s="341" t="s">
        <v>142</v>
      </c>
      <c r="DH219" s="341">
        <f>DH220*(DI219/DI220)^0.67</f>
        <v>4955600.7639740808</v>
      </c>
      <c r="DI219" s="288">
        <v>1924257.2342000001</v>
      </c>
      <c r="DK219" s="341" t="s">
        <v>142</v>
      </c>
      <c r="DL219" s="341">
        <f>DL220*(DM219/DM220)^0.67</f>
        <v>4955600.7639740808</v>
      </c>
      <c r="DM219" s="288">
        <v>1924257.2342000001</v>
      </c>
      <c r="DO219" s="341" t="s">
        <v>142</v>
      </c>
      <c r="DP219" s="341">
        <f>DP220*(DQ219/DQ220)^0.67</f>
        <v>4955600.7639740808</v>
      </c>
      <c r="DQ219" s="288">
        <v>1924257.2342000001</v>
      </c>
    </row>
    <row r="220" spans="6:121">
      <c r="F220" s="341" t="s">
        <v>856</v>
      </c>
      <c r="G220" s="341">
        <v>33700</v>
      </c>
      <c r="H220" s="288">
        <v>1052.9577645669999</v>
      </c>
      <c r="I220" s="288" t="s">
        <v>1087</v>
      </c>
      <c r="K220" s="341" t="s">
        <v>856</v>
      </c>
      <c r="L220" s="341">
        <v>33500</v>
      </c>
      <c r="M220" s="288">
        <v>1069.779173271</v>
      </c>
      <c r="N220" s="288" t="s">
        <v>1087</v>
      </c>
      <c r="P220" s="341" t="s">
        <v>856</v>
      </c>
      <c r="Q220" s="341">
        <v>38000</v>
      </c>
      <c r="R220" s="288">
        <v>1374.2722314600001</v>
      </c>
      <c r="S220" s="288" t="s">
        <v>1087</v>
      </c>
      <c r="U220" s="341" t="s">
        <v>856</v>
      </c>
      <c r="V220" s="341">
        <v>46700</v>
      </c>
      <c r="W220" s="288">
        <v>1822.6855010899999</v>
      </c>
      <c r="X220" s="288" t="s">
        <v>657</v>
      </c>
      <c r="Y220" s="341" t="s">
        <v>856</v>
      </c>
      <c r="Z220" s="341">
        <v>46700</v>
      </c>
      <c r="AA220" s="288">
        <v>1822.6855010899999</v>
      </c>
      <c r="AB220"/>
      <c r="AC220" s="341" t="s">
        <v>856</v>
      </c>
      <c r="AD220" s="341">
        <v>46700</v>
      </c>
      <c r="AE220" s="288">
        <v>1822.6855010899999</v>
      </c>
      <c r="AG220" s="341" t="s">
        <v>856</v>
      </c>
      <c r="AH220" s="341">
        <v>46700</v>
      </c>
      <c r="AI220" s="288">
        <v>1822.6855010899999</v>
      </c>
      <c r="AK220" s="341" t="s">
        <v>856</v>
      </c>
      <c r="AL220" s="341">
        <v>46700</v>
      </c>
      <c r="AM220" s="288">
        <v>1822.6855010899999</v>
      </c>
      <c r="AO220" s="341" t="s">
        <v>856</v>
      </c>
      <c r="AP220" s="341">
        <v>46700</v>
      </c>
      <c r="AQ220" s="288">
        <v>1822.6855010899999</v>
      </c>
      <c r="AS220" s="341" t="s">
        <v>856</v>
      </c>
      <c r="AT220" s="341">
        <v>46700</v>
      </c>
      <c r="AU220" s="288">
        <v>1822.6855010899999</v>
      </c>
      <c r="AY220" s="341" t="s">
        <v>856</v>
      </c>
      <c r="AZ220" s="341">
        <v>46700</v>
      </c>
      <c r="BA220" s="288">
        <v>1822.6855010899999</v>
      </c>
      <c r="BD220" s="341" t="s">
        <v>856</v>
      </c>
      <c r="BE220" s="341">
        <v>46700</v>
      </c>
      <c r="BF220" s="288">
        <v>1822.6855010899999</v>
      </c>
      <c r="BI220" s="341" t="s">
        <v>856</v>
      </c>
      <c r="BJ220" s="341">
        <v>46700</v>
      </c>
      <c r="BK220" s="288">
        <v>1822.6855010899999</v>
      </c>
      <c r="BO220" s="341" t="s">
        <v>856</v>
      </c>
      <c r="BP220" s="341">
        <v>46700</v>
      </c>
      <c r="BQ220" s="288">
        <v>1822.6855010899999</v>
      </c>
      <c r="BV220" s="341" t="s">
        <v>856</v>
      </c>
      <c r="BW220" s="341">
        <v>46700</v>
      </c>
      <c r="BX220" s="288">
        <v>1822.6855010899999</v>
      </c>
      <c r="CB220" s="341" t="s">
        <v>856</v>
      </c>
      <c r="CC220" s="341">
        <v>46700</v>
      </c>
      <c r="CD220" s="288">
        <v>1822.6855010899999</v>
      </c>
      <c r="CH220" s="341" t="s">
        <v>856</v>
      </c>
      <c r="CI220" s="341">
        <v>46700</v>
      </c>
      <c r="CJ220" s="288">
        <v>1822.6855010899999</v>
      </c>
      <c r="CM220" s="341" t="s">
        <v>856</v>
      </c>
      <c r="CN220" s="341">
        <v>46700</v>
      </c>
      <c r="CO220" s="288">
        <v>1822.6855010899999</v>
      </c>
      <c r="CQ220" s="341" t="s">
        <v>856</v>
      </c>
      <c r="CR220" s="341">
        <v>46700</v>
      </c>
      <c r="CS220" s="288">
        <v>1822.6855010899999</v>
      </c>
      <c r="CU220" s="341" t="s">
        <v>856</v>
      </c>
      <c r="CV220" s="341">
        <v>46700</v>
      </c>
      <c r="CW220" s="288">
        <v>1822.6855010899999</v>
      </c>
      <c r="CY220" s="341" t="s">
        <v>856</v>
      </c>
      <c r="CZ220" s="341">
        <v>46700</v>
      </c>
      <c r="DA220" s="288">
        <v>1822.6855010899999</v>
      </c>
      <c r="DC220" s="341" t="s">
        <v>856</v>
      </c>
      <c r="DD220" s="341">
        <v>46700</v>
      </c>
      <c r="DE220" s="288">
        <v>1822.6855010899999</v>
      </c>
      <c r="DG220" s="341" t="s">
        <v>856</v>
      </c>
      <c r="DH220" s="341">
        <v>46700</v>
      </c>
      <c r="DI220" s="288">
        <v>1822.6855010899999</v>
      </c>
      <c r="DK220" s="341" t="s">
        <v>856</v>
      </c>
      <c r="DL220" s="341">
        <v>46700</v>
      </c>
      <c r="DM220" s="288">
        <v>1822.6855010899999</v>
      </c>
      <c r="DO220" s="341" t="s">
        <v>856</v>
      </c>
      <c r="DP220" s="341">
        <v>46700</v>
      </c>
      <c r="DQ220" s="288">
        <v>1822.6855010899999</v>
      </c>
    </row>
    <row r="221" spans="6:121">
      <c r="F221" s="341" t="s">
        <v>857</v>
      </c>
      <c r="G221" s="341">
        <v>983100</v>
      </c>
      <c r="K221" s="341" t="s">
        <v>857</v>
      </c>
      <c r="L221" s="341">
        <v>671800</v>
      </c>
      <c r="P221" s="341" t="s">
        <v>857</v>
      </c>
      <c r="Q221" s="341">
        <v>1182700</v>
      </c>
      <c r="U221" s="341" t="s">
        <v>857</v>
      </c>
      <c r="V221" s="341">
        <v>2123200</v>
      </c>
      <c r="Y221" s="341" t="s">
        <v>857</v>
      </c>
      <c r="Z221" s="341">
        <v>2123200</v>
      </c>
      <c r="AB221"/>
      <c r="AC221" s="341" t="s">
        <v>857</v>
      </c>
      <c r="AD221" s="341">
        <v>2123200</v>
      </c>
      <c r="AG221" s="341" t="s">
        <v>857</v>
      </c>
      <c r="AH221" s="341">
        <v>2123200</v>
      </c>
      <c r="AK221" s="341" t="s">
        <v>857</v>
      </c>
      <c r="AL221" s="341">
        <v>2123200</v>
      </c>
      <c r="AO221" s="341" t="s">
        <v>857</v>
      </c>
      <c r="AP221" s="341">
        <v>2123200</v>
      </c>
      <c r="AS221" s="341" t="s">
        <v>857</v>
      </c>
      <c r="AT221" s="341">
        <v>2123200</v>
      </c>
      <c r="AY221" s="341" t="s">
        <v>857</v>
      </c>
      <c r="AZ221" s="341">
        <v>2123200</v>
      </c>
      <c r="BD221" s="341" t="s">
        <v>857</v>
      </c>
      <c r="BE221" s="341">
        <v>2123200</v>
      </c>
      <c r="BI221" s="341" t="s">
        <v>857</v>
      </c>
      <c r="BJ221" s="341">
        <v>2123200</v>
      </c>
      <c r="BO221" s="341" t="s">
        <v>857</v>
      </c>
      <c r="BP221" s="341">
        <v>2123200</v>
      </c>
      <c r="BV221" s="341" t="s">
        <v>857</v>
      </c>
      <c r="BW221" s="341">
        <v>2123200</v>
      </c>
      <c r="CB221" s="341" t="s">
        <v>857</v>
      </c>
      <c r="CC221" s="341">
        <v>2123200</v>
      </c>
      <c r="CH221" s="341" t="s">
        <v>857</v>
      </c>
      <c r="CI221" s="341">
        <v>2123200</v>
      </c>
      <c r="CM221" s="341" t="s">
        <v>857</v>
      </c>
      <c r="CN221" s="341">
        <v>2123200</v>
      </c>
      <c r="CQ221" s="341" t="s">
        <v>857</v>
      </c>
      <c r="CR221" s="341">
        <v>2123200</v>
      </c>
      <c r="CU221" s="341" t="s">
        <v>857</v>
      </c>
      <c r="CV221" s="341">
        <v>2123200</v>
      </c>
      <c r="CY221" s="341" t="s">
        <v>857</v>
      </c>
      <c r="CZ221" s="341">
        <v>2123200</v>
      </c>
      <c r="DC221" s="341" t="s">
        <v>857</v>
      </c>
      <c r="DD221" s="341">
        <v>2123200</v>
      </c>
      <c r="DG221" s="341" t="s">
        <v>857</v>
      </c>
      <c r="DH221" s="341">
        <v>2123200</v>
      </c>
      <c r="DK221" s="341" t="s">
        <v>857</v>
      </c>
      <c r="DL221" s="341">
        <v>2123200</v>
      </c>
      <c r="DO221" s="341" t="s">
        <v>857</v>
      </c>
      <c r="DP221" s="341">
        <v>2123200</v>
      </c>
    </row>
    <row r="222" spans="6:121">
      <c r="F222" s="341" t="s">
        <v>855</v>
      </c>
      <c r="G222" s="341">
        <v>577400</v>
      </c>
      <c r="K222" s="341" t="s">
        <v>855</v>
      </c>
      <c r="L222" s="341">
        <v>531100</v>
      </c>
      <c r="P222" s="341" t="s">
        <v>855</v>
      </c>
      <c r="Q222" s="341">
        <v>516100</v>
      </c>
      <c r="U222" s="341" t="s">
        <v>855</v>
      </c>
      <c r="V222" s="341">
        <v>1612800</v>
      </c>
      <c r="Y222" s="341" t="s">
        <v>855</v>
      </c>
      <c r="Z222" s="341">
        <v>1612800</v>
      </c>
      <c r="AB222"/>
      <c r="AC222" s="341" t="s">
        <v>855</v>
      </c>
      <c r="AD222" s="341">
        <v>1612800</v>
      </c>
      <c r="AG222" s="341" t="s">
        <v>855</v>
      </c>
      <c r="AH222" s="341">
        <v>1612800</v>
      </c>
      <c r="AK222" s="341" t="s">
        <v>855</v>
      </c>
      <c r="AL222" s="341">
        <v>1612800</v>
      </c>
      <c r="AO222" s="341" t="s">
        <v>855</v>
      </c>
      <c r="AP222" s="341">
        <v>1612800</v>
      </c>
      <c r="AS222" s="341" t="s">
        <v>855</v>
      </c>
      <c r="AT222" s="341">
        <v>1612800</v>
      </c>
      <c r="AY222" s="341" t="s">
        <v>855</v>
      </c>
      <c r="AZ222" s="341">
        <v>1612800</v>
      </c>
      <c r="BD222" s="341" t="s">
        <v>855</v>
      </c>
      <c r="BE222" s="341">
        <v>1612800</v>
      </c>
      <c r="BI222" s="341" t="s">
        <v>855</v>
      </c>
      <c r="BJ222" s="341">
        <v>1612800</v>
      </c>
      <c r="BO222" s="341" t="s">
        <v>855</v>
      </c>
      <c r="BP222" s="341">
        <v>1612800</v>
      </c>
      <c r="BV222" s="341" t="s">
        <v>855</v>
      </c>
      <c r="BW222" s="341">
        <v>1612800</v>
      </c>
      <c r="CB222" s="341" t="s">
        <v>855</v>
      </c>
      <c r="CC222" s="341">
        <v>1612800</v>
      </c>
      <c r="CH222" s="341" t="s">
        <v>855</v>
      </c>
      <c r="CI222" s="341">
        <v>1612800</v>
      </c>
      <c r="CM222" s="341" t="s">
        <v>855</v>
      </c>
      <c r="CN222" s="341">
        <v>1612800</v>
      </c>
      <c r="CQ222" s="341" t="s">
        <v>855</v>
      </c>
      <c r="CR222" s="341">
        <v>1612800</v>
      </c>
      <c r="CU222" s="341" t="s">
        <v>855</v>
      </c>
      <c r="CV222" s="341">
        <v>1612800</v>
      </c>
      <c r="CY222" s="341" t="s">
        <v>855</v>
      </c>
      <c r="CZ222" s="341">
        <v>1612800</v>
      </c>
      <c r="DC222" s="341" t="s">
        <v>855</v>
      </c>
      <c r="DD222" s="341">
        <v>1612800</v>
      </c>
      <c r="DG222" s="341" t="s">
        <v>855</v>
      </c>
      <c r="DH222" s="341">
        <v>1612800</v>
      </c>
      <c r="DK222" s="341" t="s">
        <v>855</v>
      </c>
      <c r="DL222" s="341">
        <v>1612800</v>
      </c>
      <c r="DO222" s="341" t="s">
        <v>855</v>
      </c>
      <c r="DP222" s="341">
        <v>1612800</v>
      </c>
    </row>
    <row r="223" spans="6:121">
      <c r="F223" s="342" t="s">
        <v>904</v>
      </c>
      <c r="G223" s="341"/>
      <c r="K223" s="342" t="s">
        <v>904</v>
      </c>
      <c r="L223" s="341"/>
      <c r="P223" s="342" t="s">
        <v>904</v>
      </c>
      <c r="Q223" s="341"/>
      <c r="U223" s="342" t="s">
        <v>904</v>
      </c>
      <c r="V223" s="341"/>
      <c r="Y223" s="342" t="s">
        <v>904</v>
      </c>
      <c r="Z223" s="341"/>
      <c r="AB223"/>
      <c r="AC223" s="342" t="s">
        <v>904</v>
      </c>
      <c r="AD223" s="341"/>
      <c r="AG223" s="342" t="s">
        <v>904</v>
      </c>
      <c r="AH223" s="341"/>
      <c r="AK223" s="342" t="s">
        <v>904</v>
      </c>
      <c r="AL223" s="341"/>
      <c r="AO223" s="342" t="s">
        <v>904</v>
      </c>
      <c r="AP223" s="341"/>
      <c r="AS223" s="342" t="s">
        <v>904</v>
      </c>
      <c r="AT223" s="341"/>
      <c r="AY223" s="342" t="s">
        <v>904</v>
      </c>
      <c r="AZ223" s="341"/>
      <c r="BD223" s="342" t="s">
        <v>904</v>
      </c>
      <c r="BE223" s="341"/>
      <c r="BI223" s="342" t="s">
        <v>904</v>
      </c>
      <c r="BJ223" s="341"/>
      <c r="BO223" s="342" t="s">
        <v>904</v>
      </c>
      <c r="BP223" s="341"/>
      <c r="BV223" s="342" t="s">
        <v>904</v>
      </c>
      <c r="BW223" s="341"/>
      <c r="CB223" s="342" t="s">
        <v>904</v>
      </c>
      <c r="CC223" s="341"/>
      <c r="CH223" s="342" t="s">
        <v>904</v>
      </c>
      <c r="CI223" s="341"/>
      <c r="CM223" s="342" t="s">
        <v>904</v>
      </c>
      <c r="CN223" s="341"/>
      <c r="CQ223" s="342" t="s">
        <v>904</v>
      </c>
      <c r="CR223" s="341"/>
      <c r="CU223" s="342" t="s">
        <v>904</v>
      </c>
      <c r="CV223" s="341"/>
      <c r="CY223" s="342" t="s">
        <v>904</v>
      </c>
      <c r="CZ223" s="341"/>
      <c r="DC223" s="342" t="s">
        <v>904</v>
      </c>
      <c r="DD223" s="341"/>
      <c r="DG223" s="342" t="s">
        <v>904</v>
      </c>
      <c r="DH223" s="341"/>
      <c r="DK223" s="342" t="s">
        <v>904</v>
      </c>
      <c r="DL223" s="341"/>
      <c r="DO223" s="342" t="s">
        <v>904</v>
      </c>
      <c r="DP223" s="341"/>
    </row>
    <row r="224" spans="6:121">
      <c r="F224" s="341" t="s">
        <v>587</v>
      </c>
      <c r="G224" s="834">
        <f>(7.54*10^6)*(H224/(5.7*3600))^0.87</f>
        <v>42649768.721426256</v>
      </c>
      <c r="H224" s="288">
        <v>150373.737411865</v>
      </c>
      <c r="I224" s="288" t="s">
        <v>652</v>
      </c>
      <c r="K224" s="341" t="s">
        <v>587</v>
      </c>
      <c r="L224" s="834">
        <f>(7.54*10^6)*(M224/(5.7*3600))^0.87</f>
        <v>39075309.774093218</v>
      </c>
      <c r="M224" s="288">
        <v>135980.75642506499</v>
      </c>
      <c r="N224" s="288" t="s">
        <v>652</v>
      </c>
      <c r="P224" s="341" t="s">
        <v>587</v>
      </c>
      <c r="Q224" s="834">
        <f>(7.54*10^6)*(R224/(5.7*3600))^0.87</f>
        <v>37937766.927865364</v>
      </c>
      <c r="R224" s="288">
        <v>131440.608596401</v>
      </c>
      <c r="S224" s="288" t="s">
        <v>652</v>
      </c>
      <c r="U224" s="341" t="s">
        <v>587</v>
      </c>
      <c r="V224" s="834">
        <f>(7.54*10^6)*(W224/(5.7*3600))^0.87</f>
        <v>35480933.258085482</v>
      </c>
      <c r="W224" s="288">
        <v>121704.89139246799</v>
      </c>
      <c r="X224" s="288" t="s">
        <v>652</v>
      </c>
      <c r="Y224" s="341" t="s">
        <v>587</v>
      </c>
      <c r="Z224" s="834">
        <f>(7.54*10^6)*(AA224/(5.7*3600))^0.87</f>
        <v>35480933.258085482</v>
      </c>
      <c r="AA224" s="288">
        <v>121704.89139246799</v>
      </c>
      <c r="AB224"/>
      <c r="AC224" s="341" t="s">
        <v>587</v>
      </c>
      <c r="AD224" s="834">
        <f>(7.54*10^6)*(AE224/(5.7*3600))^0.87</f>
        <v>35480933.258085482</v>
      </c>
      <c r="AE224" s="288">
        <v>121704.89139246799</v>
      </c>
      <c r="AG224" s="341" t="s">
        <v>587</v>
      </c>
      <c r="AH224" s="834">
        <f>(7.54*10^6)*(AI224/(5.7*3600))^0.87</f>
        <v>35480933.258085482</v>
      </c>
      <c r="AI224" s="288">
        <v>121704.89139246799</v>
      </c>
      <c r="AK224" s="341" t="s">
        <v>587</v>
      </c>
      <c r="AL224" s="834">
        <f>(7.54*10^6)*(AM224/(5.7*3600))^0.87</f>
        <v>35480933.258085482</v>
      </c>
      <c r="AM224" s="288">
        <v>121704.89139246799</v>
      </c>
      <c r="AO224" s="341" t="s">
        <v>587</v>
      </c>
      <c r="AP224" s="834">
        <f>(7.54*10^6)*(AQ224/(5.7*3600))^0.87</f>
        <v>35480933.258085482</v>
      </c>
      <c r="AQ224" s="288">
        <v>121704.89139246799</v>
      </c>
      <c r="AS224" s="341" t="s">
        <v>587</v>
      </c>
      <c r="AT224" s="834">
        <f>(7.54*10^6)*(AU224/(5.7*3600))^0.87</f>
        <v>35480933.258085482</v>
      </c>
      <c r="AU224" s="288">
        <v>121704.89139246799</v>
      </c>
      <c r="AY224" s="341" t="s">
        <v>587</v>
      </c>
      <c r="AZ224" s="834">
        <f>(7.54*10^6)*(BA224/(5.7*3600))^0.87</f>
        <v>35480933.258085482</v>
      </c>
      <c r="BA224" s="288">
        <v>121704.89139246799</v>
      </c>
      <c r="BD224" s="341" t="s">
        <v>587</v>
      </c>
      <c r="BE224" s="834">
        <f>(7.54*10^6)*(BF224/(5.7*3600))^0.87</f>
        <v>35480933.258085482</v>
      </c>
      <c r="BF224" s="288">
        <v>121704.89139246799</v>
      </c>
      <c r="BI224" s="341" t="s">
        <v>587</v>
      </c>
      <c r="BJ224" s="834">
        <f>(7.54*10^6)*(BK224/(5.7*3600))^0.87</f>
        <v>35480933.258085482</v>
      </c>
      <c r="BK224" s="288">
        <v>121704.89139246799</v>
      </c>
      <c r="BO224" s="341" t="s">
        <v>587</v>
      </c>
      <c r="BP224" s="834">
        <f>(7.54*10^6)*(BQ224/(5.7*3600))^0.87</f>
        <v>35480933.258085482</v>
      </c>
      <c r="BQ224" s="288">
        <v>121704.89139246799</v>
      </c>
      <c r="BV224" s="341" t="s">
        <v>587</v>
      </c>
      <c r="BW224" s="834">
        <f>(7.54*10^6)*(BX224/(5.7*3600))^0.87</f>
        <v>35480933.258085482</v>
      </c>
      <c r="BX224" s="288">
        <v>121704.89139246799</v>
      </c>
      <c r="CB224" s="341" t="s">
        <v>587</v>
      </c>
      <c r="CC224" s="834">
        <f>(7.54*10^6)*(CD224/(5.7*3600))^0.87</f>
        <v>35480933.258085482</v>
      </c>
      <c r="CD224" s="288">
        <v>121704.89139246799</v>
      </c>
      <c r="CH224" s="341" t="s">
        <v>587</v>
      </c>
      <c r="CI224" s="834">
        <f>(7.54*10^6)*(CJ224/(5.7*3600))^0.87</f>
        <v>35480933.258085482</v>
      </c>
      <c r="CJ224" s="288">
        <v>121704.89139246799</v>
      </c>
      <c r="CM224" s="341" t="s">
        <v>587</v>
      </c>
      <c r="CN224" s="834">
        <f>(7.54*10^6)*(CO224/(5.7*3600))^0.87</f>
        <v>35480933.258085482</v>
      </c>
      <c r="CO224" s="288">
        <v>121704.89139246799</v>
      </c>
      <c r="CQ224" s="341" t="s">
        <v>587</v>
      </c>
      <c r="CR224" s="834">
        <f>(7.54*10^6)*(CS224/(5.7*3600))^0.87</f>
        <v>35480933.258085482</v>
      </c>
      <c r="CS224" s="288">
        <v>121704.89139246799</v>
      </c>
      <c r="CU224" s="341" t="s">
        <v>587</v>
      </c>
      <c r="CV224" s="834">
        <f>(7.54*10^6)*(CW224/(5.7*3600))^0.87</f>
        <v>35480933.258085482</v>
      </c>
      <c r="CW224" s="288">
        <v>121704.89139246799</v>
      </c>
      <c r="CY224" s="341" t="s">
        <v>587</v>
      </c>
      <c r="CZ224" s="834">
        <f>(7.54*10^6)*(DA224/(5.7*3600))^0.87</f>
        <v>35480933.258085482</v>
      </c>
      <c r="DA224" s="288">
        <v>121704.89139246799</v>
      </c>
      <c r="DC224" s="341" t="s">
        <v>587</v>
      </c>
      <c r="DD224" s="834">
        <f>(7.54*10^6)*(DE224/(5.7*3600))^0.87</f>
        <v>35480933.258085482</v>
      </c>
      <c r="DE224" s="288">
        <v>121704.89139246799</v>
      </c>
      <c r="DG224" s="341" t="s">
        <v>587</v>
      </c>
      <c r="DH224" s="834">
        <f>(7.54*10^6)*(DI224/(5.7*3600))^0.87</f>
        <v>35480933.258085482</v>
      </c>
      <c r="DI224" s="288">
        <v>121704.89139246799</v>
      </c>
      <c r="DK224" s="341" t="s">
        <v>587</v>
      </c>
      <c r="DL224" s="834">
        <f>(7.54*10^6)*(DM224/(5.7*3600))^0.87</f>
        <v>35480933.258085482</v>
      </c>
      <c r="DM224" s="288">
        <v>121704.89139246799</v>
      </c>
      <c r="DO224" s="341" t="s">
        <v>587</v>
      </c>
      <c r="DP224" s="834">
        <f>(7.54*10^6)*(DQ224/(5.7*3600))^0.87</f>
        <v>35480933.258085482</v>
      </c>
      <c r="DQ224" s="288">
        <v>121704.89139246799</v>
      </c>
    </row>
    <row r="225" spans="6:121">
      <c r="F225" s="341" t="s">
        <v>905</v>
      </c>
      <c r="G225" s="834">
        <f>(5.01*10^6)*(H225/(14.17*3600))^0.84</f>
        <v>29052.574948565794</v>
      </c>
      <c r="H225" s="288">
        <v>110.914951671772</v>
      </c>
      <c r="I225" s="288" t="s">
        <v>652</v>
      </c>
      <c r="K225" s="341" t="s">
        <v>905</v>
      </c>
      <c r="L225" s="834">
        <f>(5.01*10^6)*(M225/(14.17*3600))^0.84</f>
        <v>68174.052809350527</v>
      </c>
      <c r="M225" s="288">
        <v>306.18472857303198</v>
      </c>
      <c r="N225" s="288" t="s">
        <v>652</v>
      </c>
      <c r="P225" s="341" t="s">
        <v>905</v>
      </c>
      <c r="Q225" s="834">
        <f>(5.01*10^6)*(R225/(14.17*3600))^0.84</f>
        <v>112119.370414427</v>
      </c>
      <c r="R225" s="288">
        <v>553.60453884458002</v>
      </c>
      <c r="S225" s="288" t="s">
        <v>652</v>
      </c>
      <c r="U225" s="341" t="s">
        <v>905</v>
      </c>
      <c r="V225" s="834">
        <f>(5.01*10^6)*(W225/(14.17*3600))^0.84</f>
        <v>152274.6622656197</v>
      </c>
      <c r="W225" s="288">
        <v>797.02120064960604</v>
      </c>
      <c r="X225" s="288" t="s">
        <v>652</v>
      </c>
      <c r="Y225" s="341" t="s">
        <v>905</v>
      </c>
      <c r="Z225" s="834">
        <f>(5.01*10^6)*(AA225/(14.17*3600))^0.84</f>
        <v>152274.6622656197</v>
      </c>
      <c r="AA225" s="288">
        <v>797.02120064960604</v>
      </c>
      <c r="AB225"/>
      <c r="AC225" s="341" t="s">
        <v>905</v>
      </c>
      <c r="AD225" s="834">
        <f>(5.01*10^6)*(AE225/(14.17*3600))^0.84</f>
        <v>152274.6622656197</v>
      </c>
      <c r="AE225" s="288">
        <v>797.02120064960604</v>
      </c>
      <c r="AG225" s="341" t="s">
        <v>905</v>
      </c>
      <c r="AH225" s="834">
        <f>(5.01*10^6)*(AI225/(14.17*3600))^0.84</f>
        <v>152274.6622656197</v>
      </c>
      <c r="AI225" s="288">
        <v>797.02120064960604</v>
      </c>
      <c r="AK225" s="341" t="s">
        <v>905</v>
      </c>
      <c r="AL225" s="834">
        <f>(5.01*10^6)*(AM225/(14.17*3600))^0.84</f>
        <v>152274.6622656197</v>
      </c>
      <c r="AM225" s="288">
        <v>797.02120064960604</v>
      </c>
      <c r="AO225" s="341" t="s">
        <v>905</v>
      </c>
      <c r="AP225" s="834">
        <f>(5.01*10^6)*(AQ225/(14.17*3600))^0.84</f>
        <v>152274.6622656197</v>
      </c>
      <c r="AQ225" s="288">
        <v>797.02120064960604</v>
      </c>
      <c r="AS225" s="341" t="s">
        <v>905</v>
      </c>
      <c r="AT225" s="834">
        <f>(5.01*10^6)*(AU225/(14.17*3600))^0.84</f>
        <v>152274.6622656197</v>
      </c>
      <c r="AU225" s="288">
        <v>797.02120064960604</v>
      </c>
      <c r="AY225" s="341" t="s">
        <v>905</v>
      </c>
      <c r="AZ225" s="834">
        <f>(5.01*10^6)*(BA225/(14.17*3600))^0.84</f>
        <v>152274.6622656197</v>
      </c>
      <c r="BA225" s="288">
        <v>797.02120064960604</v>
      </c>
      <c r="BD225" s="341" t="s">
        <v>905</v>
      </c>
      <c r="BE225" s="834">
        <f>(5.01*10^6)*(BF225/(14.17*3600))^0.84</f>
        <v>152274.6622656197</v>
      </c>
      <c r="BF225" s="288">
        <v>797.02120064960604</v>
      </c>
      <c r="BI225" s="341" t="s">
        <v>905</v>
      </c>
      <c r="BJ225" s="834">
        <f>(5.01*10^6)*(BK225/(14.17*3600))^0.84</f>
        <v>152274.6622656197</v>
      </c>
      <c r="BK225" s="288">
        <v>797.02120064960604</v>
      </c>
      <c r="BO225" s="341" t="s">
        <v>905</v>
      </c>
      <c r="BP225" s="834">
        <f>(5.01*10^6)*(BQ225/(14.17*3600))^0.84</f>
        <v>152274.6622656197</v>
      </c>
      <c r="BQ225" s="288">
        <v>797.02120064960604</v>
      </c>
      <c r="BV225" s="341" t="s">
        <v>905</v>
      </c>
      <c r="BW225" s="834">
        <f>(5.01*10^6)*(BX225/(14.17*3600))^0.84</f>
        <v>152274.6622656197</v>
      </c>
      <c r="BX225" s="288">
        <v>797.02120064960604</v>
      </c>
      <c r="CB225" s="341" t="s">
        <v>905</v>
      </c>
      <c r="CC225" s="834">
        <f>(5.01*10^6)*(CD225/(14.17*3600))^0.84</f>
        <v>152274.6622656197</v>
      </c>
      <c r="CD225" s="288">
        <v>797.02120064960604</v>
      </c>
      <c r="CH225" s="341" t="s">
        <v>905</v>
      </c>
      <c r="CI225" s="834">
        <f>(5.01*10^6)*(CJ225/(14.17*3600))^0.84</f>
        <v>152274.6622656197</v>
      </c>
      <c r="CJ225" s="288">
        <v>797.02120064960604</v>
      </c>
      <c r="CM225" s="341" t="s">
        <v>905</v>
      </c>
      <c r="CN225" s="834">
        <f>(5.01*10^6)*(CO225/(14.17*3600))^0.84</f>
        <v>152274.6622656197</v>
      </c>
      <c r="CO225" s="288">
        <v>797.02120064960604</v>
      </c>
      <c r="CQ225" s="341" t="s">
        <v>905</v>
      </c>
      <c r="CR225" s="834">
        <f>(5.01*10^6)*(CS225/(14.17*3600))^0.84</f>
        <v>152274.6622656197</v>
      </c>
      <c r="CS225" s="288">
        <v>797.02120064960604</v>
      </c>
      <c r="CU225" s="341" t="s">
        <v>905</v>
      </c>
      <c r="CV225" s="834">
        <f>(5.01*10^6)*(CW225/(14.17*3600))^0.84</f>
        <v>152274.6622656197</v>
      </c>
      <c r="CW225" s="288">
        <v>797.02120064960604</v>
      </c>
      <c r="CY225" s="341" t="s">
        <v>905</v>
      </c>
      <c r="CZ225" s="834">
        <f>(5.01*10^6)*(DA225/(14.17*3600))^0.84</f>
        <v>152274.6622656197</v>
      </c>
      <c r="DA225" s="288">
        <v>797.02120064960604</v>
      </c>
      <c r="DC225" s="341" t="s">
        <v>905</v>
      </c>
      <c r="DD225" s="834">
        <f>(5.01*10^6)*(DE225/(14.17*3600))^0.84</f>
        <v>152274.6622656197</v>
      </c>
      <c r="DE225" s="288">
        <v>797.02120064960604</v>
      </c>
      <c r="DG225" s="341" t="s">
        <v>905</v>
      </c>
      <c r="DH225" s="834">
        <f>(5.01*10^6)*(DI225/(14.17*3600))^0.84</f>
        <v>152274.6622656197</v>
      </c>
      <c r="DI225" s="288">
        <v>797.02120064960604</v>
      </c>
      <c r="DK225" s="341" t="s">
        <v>905</v>
      </c>
      <c r="DL225" s="834">
        <f>(5.01*10^6)*(DM225/(14.17*3600))^0.84</f>
        <v>152274.6622656197</v>
      </c>
      <c r="DM225" s="288">
        <v>797.02120064960604</v>
      </c>
      <c r="DO225" s="341" t="s">
        <v>905</v>
      </c>
      <c r="DP225" s="834">
        <f>(5.01*10^6)*(DQ225/(14.17*3600))^0.84</f>
        <v>152274.6622656197</v>
      </c>
      <c r="DQ225" s="288">
        <v>797.02120064960604</v>
      </c>
    </row>
    <row r="226" spans="6:121">
      <c r="F226" s="341" t="s">
        <v>906</v>
      </c>
      <c r="G226" s="835">
        <f>(0.93*10^6)*(H226/(5.7*3600))^0.86</f>
        <v>216638.37351082449</v>
      </c>
      <c r="H226" s="288">
        <v>3770.72080503084</v>
      </c>
      <c r="I226" s="288" t="s">
        <v>652</v>
      </c>
      <c r="K226" s="341" t="s">
        <v>906</v>
      </c>
      <c r="L226" s="835">
        <f>(0.93*10^6)*(M226/(5.7*3600))^0.86</f>
        <v>304977.33748092805</v>
      </c>
      <c r="M226" s="288">
        <v>5612.23976993823</v>
      </c>
      <c r="N226" s="288" t="s">
        <v>652</v>
      </c>
      <c r="P226" s="341" t="s">
        <v>906</v>
      </c>
      <c r="Q226" s="835">
        <f>(0.93*10^6)*(R226/(5.7*3600))^0.86</f>
        <v>416494.95483803313</v>
      </c>
      <c r="R226" s="288">
        <v>8063.2632828867399</v>
      </c>
      <c r="S226" s="288" t="s">
        <v>652</v>
      </c>
      <c r="U226" s="341" t="s">
        <v>906</v>
      </c>
      <c r="V226" s="835">
        <f>(0.93*10^6)*(W226/(5.7*3600))^0.86</f>
        <v>533291.53531777824</v>
      </c>
      <c r="W226" s="288">
        <v>10748.359220091401</v>
      </c>
      <c r="X226" s="288" t="s">
        <v>652</v>
      </c>
      <c r="Y226" s="341" t="s">
        <v>906</v>
      </c>
      <c r="Z226" s="835">
        <f>(0.93*10^6)*(AA226/(5.7*3600))^0.86</f>
        <v>533291.53531777824</v>
      </c>
      <c r="AA226" s="288">
        <v>10748.359220091401</v>
      </c>
      <c r="AB226"/>
      <c r="AC226" s="341" t="s">
        <v>906</v>
      </c>
      <c r="AD226" s="835">
        <f>(0.93*10^6)*(AE226/(5.7*3600))^0.86</f>
        <v>533291.53531777824</v>
      </c>
      <c r="AE226" s="288">
        <v>10748.359220091401</v>
      </c>
      <c r="AG226" s="341" t="s">
        <v>906</v>
      </c>
      <c r="AH226" s="835">
        <f>(0.93*10^6)*(AI226/(5.7*3600))^0.86</f>
        <v>533291.53531777824</v>
      </c>
      <c r="AI226" s="288">
        <v>10748.359220091401</v>
      </c>
      <c r="AK226" s="341" t="s">
        <v>906</v>
      </c>
      <c r="AL226" s="835">
        <f>(0.93*10^6)*(AM226/(5.7*3600))^0.86</f>
        <v>533291.53531777824</v>
      </c>
      <c r="AM226" s="288">
        <v>10748.359220091401</v>
      </c>
      <c r="AO226" s="341" t="s">
        <v>906</v>
      </c>
      <c r="AP226" s="835">
        <f>(0.93*10^6)*(AQ226/(5.7*3600))^0.86</f>
        <v>533291.53531777824</v>
      </c>
      <c r="AQ226" s="288">
        <v>10748.359220091401</v>
      </c>
      <c r="AS226" s="341" t="s">
        <v>906</v>
      </c>
      <c r="AT226" s="835">
        <f>(0.93*10^6)*(AU226/(5.7*3600))^0.86</f>
        <v>533291.53531777824</v>
      </c>
      <c r="AU226" s="288">
        <v>10748.359220091401</v>
      </c>
      <c r="AY226" s="341" t="s">
        <v>906</v>
      </c>
      <c r="AZ226" s="835">
        <f>(0.93*10^6)*(BA226/(5.7*3600))^0.86</f>
        <v>533291.53531777824</v>
      </c>
      <c r="BA226" s="288">
        <v>10748.359220091401</v>
      </c>
      <c r="BD226" s="341" t="s">
        <v>906</v>
      </c>
      <c r="BE226" s="835">
        <f>(0.93*10^6)*(BF226/(5.7*3600))^0.86</f>
        <v>533291.53531777824</v>
      </c>
      <c r="BF226" s="288">
        <v>10748.359220091401</v>
      </c>
      <c r="BI226" s="341" t="s">
        <v>906</v>
      </c>
      <c r="BJ226" s="835">
        <f>(0.93*10^6)*(BK226/(5.7*3600))^0.86</f>
        <v>533291.53531777824</v>
      </c>
      <c r="BK226" s="288">
        <v>10748.359220091401</v>
      </c>
      <c r="BO226" s="341" t="s">
        <v>906</v>
      </c>
      <c r="BP226" s="835">
        <f>(0.93*10^6)*(BQ226/(5.7*3600))^0.86</f>
        <v>533291.53531777824</v>
      </c>
      <c r="BQ226" s="288">
        <v>10748.359220091401</v>
      </c>
      <c r="BV226" s="341" t="s">
        <v>906</v>
      </c>
      <c r="BW226" s="835">
        <f>(0.93*10^6)*(BX226/(5.7*3600))^0.86</f>
        <v>533291.53531777824</v>
      </c>
      <c r="BX226" s="288">
        <v>10748.359220091401</v>
      </c>
      <c r="CB226" s="341" t="s">
        <v>906</v>
      </c>
      <c r="CC226" s="835">
        <f>(0.93*10^6)*(CD226/(5.7*3600))^0.86</f>
        <v>533291.53531777824</v>
      </c>
      <c r="CD226" s="288">
        <v>10748.359220091401</v>
      </c>
      <c r="CH226" s="341" t="s">
        <v>906</v>
      </c>
      <c r="CI226" s="835">
        <f>(0.93*10^6)*(CJ226/(5.7*3600))^0.86</f>
        <v>533291.53531777824</v>
      </c>
      <c r="CJ226" s="288">
        <v>10748.359220091401</v>
      </c>
      <c r="CM226" s="341" t="s">
        <v>906</v>
      </c>
      <c r="CN226" s="835">
        <f>(0.93*10^6)*(CO226/(5.7*3600))^0.86</f>
        <v>533291.53531777824</v>
      </c>
      <c r="CO226" s="288">
        <v>10748.359220091401</v>
      </c>
      <c r="CQ226" s="341" t="s">
        <v>906</v>
      </c>
      <c r="CR226" s="835">
        <f>(0.93*10^6)*(CS226/(5.7*3600))^0.86</f>
        <v>533291.53531777824</v>
      </c>
      <c r="CS226" s="288">
        <v>10748.359220091401</v>
      </c>
      <c r="CU226" s="341" t="s">
        <v>906</v>
      </c>
      <c r="CV226" s="835">
        <f>(0.93*10^6)*(CW226/(5.7*3600))^0.86</f>
        <v>533291.53531777824</v>
      </c>
      <c r="CW226" s="288">
        <v>10748.359220091401</v>
      </c>
      <c r="CY226" s="341" t="s">
        <v>906</v>
      </c>
      <c r="CZ226" s="835">
        <f>(0.93*10^6)*(DA226/(5.7*3600))^0.86</f>
        <v>533291.53531777824</v>
      </c>
      <c r="DA226" s="288">
        <v>10748.359220091401</v>
      </c>
      <c r="DC226" s="341" t="s">
        <v>906</v>
      </c>
      <c r="DD226" s="835">
        <f>(0.93*10^6)*(DE226/(5.7*3600))^0.86</f>
        <v>533291.53531777824</v>
      </c>
      <c r="DE226" s="288">
        <v>10748.359220091401</v>
      </c>
      <c r="DG226" s="341" t="s">
        <v>906</v>
      </c>
      <c r="DH226" s="835">
        <f>(0.93*10^6)*(DI226/(5.7*3600))^0.86</f>
        <v>533291.53531777824</v>
      </c>
      <c r="DI226" s="288">
        <v>10748.359220091401</v>
      </c>
      <c r="DK226" s="341" t="s">
        <v>906</v>
      </c>
      <c r="DL226" s="835">
        <f>(0.93*10^6)*(DM226/(5.7*3600))^0.86</f>
        <v>533291.53531777824</v>
      </c>
      <c r="DM226" s="288">
        <v>10748.359220091401</v>
      </c>
      <c r="DO226" s="341" t="s">
        <v>906</v>
      </c>
      <c r="DP226" s="835">
        <f>(0.93*10^6)*(DQ226/(5.7*3600))^0.86</f>
        <v>533291.53531777824</v>
      </c>
      <c r="DQ226" s="288">
        <v>10748.359220091401</v>
      </c>
    </row>
    <row r="227" spans="6:121">
      <c r="F227" s="342" t="s">
        <v>1026</v>
      </c>
      <c r="G227" s="341"/>
      <c r="K227" s="342" t="s">
        <v>1026</v>
      </c>
      <c r="L227" s="341"/>
      <c r="P227" s="342" t="s">
        <v>1026</v>
      </c>
      <c r="Q227" s="341"/>
      <c r="U227" s="342" t="s">
        <v>1026</v>
      </c>
      <c r="V227" s="341"/>
      <c r="Y227" s="342" t="s">
        <v>1026</v>
      </c>
      <c r="Z227" s="341"/>
      <c r="AB227"/>
      <c r="AC227" s="342" t="s">
        <v>1026</v>
      </c>
      <c r="AD227" s="341"/>
      <c r="AG227" s="342" t="s">
        <v>1026</v>
      </c>
      <c r="AH227" s="341"/>
      <c r="AK227" s="342" t="s">
        <v>1026</v>
      </c>
      <c r="AL227" s="341"/>
      <c r="AO227" s="342" t="s">
        <v>1026</v>
      </c>
      <c r="AP227" s="341"/>
      <c r="AS227" s="342" t="s">
        <v>1026</v>
      </c>
      <c r="AT227" s="341"/>
      <c r="AY227" s="342" t="s">
        <v>1026</v>
      </c>
      <c r="AZ227" s="341"/>
      <c r="BD227" s="342" t="s">
        <v>1026</v>
      </c>
      <c r="BE227" s="341"/>
      <c r="BI227" s="342" t="s">
        <v>1026</v>
      </c>
      <c r="BJ227" s="341"/>
      <c r="BO227" s="342" t="s">
        <v>1026</v>
      </c>
      <c r="BP227" s="341"/>
      <c r="BV227" s="342" t="s">
        <v>1026</v>
      </c>
      <c r="BW227" s="341"/>
      <c r="CB227" s="342" t="s">
        <v>1026</v>
      </c>
      <c r="CC227" s="341"/>
      <c r="CH227" s="342" t="s">
        <v>1026</v>
      </c>
      <c r="CI227" s="341"/>
      <c r="CM227" s="342" t="s">
        <v>1026</v>
      </c>
      <c r="CN227" s="341"/>
      <c r="CQ227" s="342" t="s">
        <v>1026</v>
      </c>
      <c r="CR227" s="341"/>
      <c r="CU227" s="342" t="s">
        <v>1026</v>
      </c>
      <c r="CV227" s="341"/>
      <c r="CY227" s="342" t="s">
        <v>1026</v>
      </c>
      <c r="CZ227" s="341"/>
      <c r="DC227" s="342" t="s">
        <v>1026</v>
      </c>
      <c r="DD227" s="341"/>
      <c r="DG227" s="342" t="s">
        <v>1026</v>
      </c>
      <c r="DH227" s="341"/>
      <c r="DK227" s="342" t="s">
        <v>1026</v>
      </c>
      <c r="DL227" s="341"/>
      <c r="DO227" s="342" t="s">
        <v>1026</v>
      </c>
      <c r="DP227" s="341"/>
    </row>
    <row r="228" spans="6:121">
      <c r="F228" s="341" t="s">
        <v>1027</v>
      </c>
      <c r="G228" s="341">
        <f>603.1/392.6*1510000*(H228/500)^0.6+H229/0.01*6.11*4</f>
        <v>53705975.33563529</v>
      </c>
      <c r="H228" s="288">
        <v>15167.7847525816</v>
      </c>
      <c r="I228" s="288" t="s">
        <v>1028</v>
      </c>
      <c r="K228" s="341" t="s">
        <v>1027</v>
      </c>
      <c r="L228" s="341">
        <f>603.1/392.6*1510000*(M228/500)^0.6+M229/0.01*6.11*4</f>
        <v>58455132.60656698</v>
      </c>
      <c r="M228" s="288">
        <v>16726.085043995801</v>
      </c>
      <c r="N228" s="288" t="s">
        <v>1028</v>
      </c>
      <c r="P228" s="341" t="s">
        <v>1027</v>
      </c>
      <c r="Q228" s="341">
        <f>603.1/392.6*1510000*(R228/500)^0.6+R229/0.01*6.11*4</f>
        <v>59466357.279898524</v>
      </c>
      <c r="R228" s="288">
        <v>17061.677184287499</v>
      </c>
      <c r="S228" s="288" t="s">
        <v>1028</v>
      </c>
      <c r="U228" s="341" t="s">
        <v>1027</v>
      </c>
      <c r="V228" s="341">
        <f>603.1/392.6*1510000*(W228/500)^0.6+W229/0.01*6.11*4</f>
        <v>60946714.352382183</v>
      </c>
      <c r="W228" s="288">
        <v>17552.329109694299</v>
      </c>
      <c r="X228" s="288" t="s">
        <v>1028</v>
      </c>
      <c r="Y228" s="341" t="s">
        <v>1027</v>
      </c>
      <c r="Z228" s="341">
        <f>603.1/392.6*1510000*(AA228/500)^0.6+AA229/0.01*6.11*4</f>
        <v>60946714.352382183</v>
      </c>
      <c r="AA228" s="288">
        <v>17552.329109694299</v>
      </c>
      <c r="AB228"/>
      <c r="AC228" s="341" t="s">
        <v>1027</v>
      </c>
      <c r="AD228" s="341">
        <f>603.1/392.6*1510000*(AE228/500)^0.6+AE229/0.01*6.11*4</f>
        <v>60946714.352382183</v>
      </c>
      <c r="AE228" s="288">
        <v>17552.329109694299</v>
      </c>
      <c r="AG228" s="341" t="s">
        <v>1027</v>
      </c>
      <c r="AH228" s="341">
        <f>603.1/392.6*1510000*(AI228/500)^0.6+AI229/0.01*6.11*4</f>
        <v>60946714.352382183</v>
      </c>
      <c r="AI228" s="288">
        <v>17552.329109694299</v>
      </c>
      <c r="AK228" s="341" t="s">
        <v>1027</v>
      </c>
      <c r="AL228" s="341">
        <f>603.1/392.6*1510000*(AM228/500)^0.6+AM229/0.01*6.11*4</f>
        <v>60946714.352382183</v>
      </c>
      <c r="AM228" s="288">
        <v>17552.329109694299</v>
      </c>
      <c r="AO228" s="341" t="s">
        <v>1027</v>
      </c>
      <c r="AP228" s="341">
        <f>603.1/392.6*1510000*(AQ228/500)^0.6+AQ229/0.01*6.11*4</f>
        <v>60946714.352382183</v>
      </c>
      <c r="AQ228" s="288">
        <v>17552.329109694299</v>
      </c>
      <c r="AS228" s="341" t="s">
        <v>1027</v>
      </c>
      <c r="AT228" s="341">
        <f>603.1/392.6*1510000*(AU228/500)^0.6+AU229/0.01*6.11*4</f>
        <v>60946714.352382183</v>
      </c>
      <c r="AU228" s="288">
        <v>17552.329109694299</v>
      </c>
      <c r="AY228" s="341" t="s">
        <v>1027</v>
      </c>
      <c r="AZ228" s="341">
        <f>603.1/392.6*1510000*(BA228/500)^0.6+BA229/0.01*6.11*4</f>
        <v>60946714.352382183</v>
      </c>
      <c r="BA228" s="288">
        <v>17552.329109694299</v>
      </c>
      <c r="BD228" s="341" t="s">
        <v>1027</v>
      </c>
      <c r="BE228" s="341">
        <f>603.1/392.6*1510000*(BF228/500)^0.6+BF229/0.01*6.11*4</f>
        <v>60946714.352382183</v>
      </c>
      <c r="BF228" s="288">
        <v>17552.329109694299</v>
      </c>
      <c r="BI228" s="341" t="s">
        <v>1027</v>
      </c>
      <c r="BJ228" s="341">
        <f>603.1/392.6*1510000*(BK228/500)^0.6+BK229/0.01*6.11*4</f>
        <v>60946714.352382183</v>
      </c>
      <c r="BK228" s="288">
        <v>17552.329109694299</v>
      </c>
      <c r="BO228" s="341" t="s">
        <v>1027</v>
      </c>
      <c r="BP228" s="341">
        <f>603.1/392.6*1510000*(BQ228/500)^0.6+BQ229/0.01*6.11*4</f>
        <v>60946714.352382183</v>
      </c>
      <c r="BQ228" s="288">
        <v>17552.329109694299</v>
      </c>
      <c r="BV228" s="341" t="s">
        <v>1027</v>
      </c>
      <c r="BW228" s="341">
        <f>603.1/392.6*1510000*(BX228/500)^0.6+BX229/0.01*6.11*4</f>
        <v>60946714.352382183</v>
      </c>
      <c r="BX228" s="288">
        <v>17552.329109694299</v>
      </c>
      <c r="CB228" s="341" t="s">
        <v>1027</v>
      </c>
      <c r="CC228" s="341">
        <f>603.1/392.6*1510000*(CD228/500)^0.6+CD229/0.01*6.11*4</f>
        <v>60946714.352382183</v>
      </c>
      <c r="CD228" s="288">
        <v>17552.329109694299</v>
      </c>
      <c r="CH228" s="341" t="s">
        <v>1027</v>
      </c>
      <c r="CI228" s="341">
        <f>603.1/392.6*1510000*(CJ228/500)^0.6+CJ229/0.01*6.11*4</f>
        <v>60946714.352382183</v>
      </c>
      <c r="CJ228" s="288">
        <v>17552.329109694299</v>
      </c>
      <c r="CM228" s="341" t="s">
        <v>1027</v>
      </c>
      <c r="CN228" s="341">
        <f>603.1/392.6*1510000*(CO228/500)^0.6+CO229/0.01*6.11*4</f>
        <v>60946714.352382183</v>
      </c>
      <c r="CO228" s="288">
        <v>17552.329109694299</v>
      </c>
      <c r="CQ228" s="341" t="s">
        <v>1027</v>
      </c>
      <c r="CR228" s="341">
        <f>603.1/392.6*1510000*(CS228/500)^0.6+CS229/0.01*6.11*4</f>
        <v>60946714.352382183</v>
      </c>
      <c r="CS228" s="288">
        <v>17552.329109694299</v>
      </c>
      <c r="CU228" s="341" t="s">
        <v>1027</v>
      </c>
      <c r="CV228" s="341">
        <f>603.1/392.6*1510000*(CW228/500)^0.6+CW229/0.01*6.11*4</f>
        <v>60946714.352382183</v>
      </c>
      <c r="CW228" s="288">
        <v>17552.329109694299</v>
      </c>
      <c r="CY228" s="341" t="s">
        <v>1027</v>
      </c>
      <c r="CZ228" s="341">
        <f>603.1/392.6*1510000*(DA228/500)^0.6+DA229/0.01*6.11*4</f>
        <v>60946714.352382183</v>
      </c>
      <c r="DA228" s="288">
        <v>17552.329109694299</v>
      </c>
      <c r="DC228" s="341" t="s">
        <v>1027</v>
      </c>
      <c r="DD228" s="341">
        <f>603.1/392.6*1510000*(DE228/500)^0.6+DE229/0.01*6.11*4</f>
        <v>60946714.352382183</v>
      </c>
      <c r="DE228" s="288">
        <v>17552.329109694299</v>
      </c>
      <c r="DG228" s="341" t="s">
        <v>1027</v>
      </c>
      <c r="DH228" s="341">
        <f>603.1/392.6*1510000*(DI228/500)^0.6+DI229/0.01*6.11*4</f>
        <v>60946714.352382183</v>
      </c>
      <c r="DI228" s="288">
        <v>17552.329109694299</v>
      </c>
      <c r="DK228" s="341" t="s">
        <v>1027</v>
      </c>
      <c r="DL228" s="341">
        <f>603.1/392.6*1510000*(DM228/500)^0.6+DM229/0.01*6.11*4</f>
        <v>60946714.352382183</v>
      </c>
      <c r="DM228" s="288">
        <v>17552.329109694299</v>
      </c>
      <c r="DO228" s="341" t="s">
        <v>1027</v>
      </c>
      <c r="DP228" s="341">
        <f>603.1/392.6*1510000*(DQ228/500)^0.6+DQ229/0.01*6.11*4</f>
        <v>60946714.352382183</v>
      </c>
      <c r="DQ228" s="288">
        <v>17552.329109694299</v>
      </c>
    </row>
    <row r="229" spans="6:121">
      <c r="F229" s="341"/>
      <c r="G229" s="341"/>
      <c r="H229" s="288">
        <v>14621.2575595043</v>
      </c>
      <c r="I229" s="288" t="s">
        <v>1029</v>
      </c>
      <c r="K229" s="341"/>
      <c r="L229" s="341"/>
      <c r="M229" s="288">
        <v>16120.0611462047</v>
      </c>
      <c r="N229" s="288" t="s">
        <v>1029</v>
      </c>
      <c r="P229" s="341"/>
      <c r="Q229" s="341"/>
      <c r="R229" s="288">
        <v>16440.319966114799</v>
      </c>
      <c r="S229" s="288" t="s">
        <v>1029</v>
      </c>
      <c r="U229" s="341"/>
      <c r="V229" s="341"/>
      <c r="W229" s="288">
        <v>16910.643726742099</v>
      </c>
      <c r="X229" s="288" t="s">
        <v>1029</v>
      </c>
      <c r="Y229" s="341"/>
      <c r="Z229" s="341"/>
      <c r="AA229" s="288">
        <v>16910.643726742099</v>
      </c>
      <c r="AB229"/>
      <c r="AC229" s="341"/>
      <c r="AD229" s="341"/>
      <c r="AE229" s="288">
        <v>16910.643726742099</v>
      </c>
      <c r="AG229" s="341"/>
      <c r="AH229" s="341"/>
      <c r="AI229" s="288">
        <v>16910.643726742099</v>
      </c>
      <c r="AK229" s="341"/>
      <c r="AL229" s="341"/>
      <c r="AM229" s="288">
        <v>16910.643726742099</v>
      </c>
      <c r="AO229" s="341"/>
      <c r="AP229" s="341"/>
      <c r="AQ229" s="288">
        <v>16910.643726742099</v>
      </c>
      <c r="AS229" s="341"/>
      <c r="AT229" s="341"/>
      <c r="AU229" s="288">
        <v>16910.643726742099</v>
      </c>
      <c r="AY229" s="341"/>
      <c r="AZ229" s="341"/>
      <c r="BA229" s="288">
        <v>16910.643726742099</v>
      </c>
      <c r="BD229" s="341"/>
      <c r="BE229" s="341"/>
      <c r="BF229" s="288">
        <v>16910.643726742099</v>
      </c>
      <c r="BI229" s="341"/>
      <c r="BJ229" s="341"/>
      <c r="BK229" s="288">
        <v>16910.643726742099</v>
      </c>
      <c r="BO229" s="341"/>
      <c r="BP229" s="341"/>
      <c r="BQ229" s="288">
        <v>16910.643726742099</v>
      </c>
      <c r="BV229" s="341"/>
      <c r="BW229" s="341"/>
      <c r="BX229" s="288">
        <v>16910.643726742099</v>
      </c>
      <c r="CB229" s="341"/>
      <c r="CC229" s="341"/>
      <c r="CD229" s="288">
        <v>16910.643726742099</v>
      </c>
      <c r="CH229" s="341"/>
      <c r="CI229" s="341"/>
      <c r="CJ229" s="288">
        <v>16910.643726742099</v>
      </c>
      <c r="CM229" s="341"/>
      <c r="CN229" s="341"/>
      <c r="CO229" s="288">
        <v>16910.643726742099</v>
      </c>
      <c r="CQ229" s="341"/>
      <c r="CR229" s="341"/>
      <c r="CS229" s="288">
        <v>16910.643726742099</v>
      </c>
      <c r="CU229" s="341"/>
      <c r="CV229" s="341"/>
      <c r="CW229" s="288">
        <v>16910.643726742099</v>
      </c>
      <c r="CY229" s="341"/>
      <c r="CZ229" s="341"/>
      <c r="DA229" s="288">
        <v>16910.643726742099</v>
      </c>
      <c r="DC229" s="341"/>
      <c r="DD229" s="341"/>
      <c r="DE229" s="288">
        <v>16910.643726742099</v>
      </c>
      <c r="DG229" s="341"/>
      <c r="DH229" s="341"/>
      <c r="DI229" s="288">
        <v>16910.643726742099</v>
      </c>
      <c r="DK229" s="341"/>
      <c r="DL229" s="341"/>
      <c r="DM229" s="288">
        <v>16910.643726742099</v>
      </c>
      <c r="DO229" s="341"/>
      <c r="DP229" s="341"/>
      <c r="DQ229" s="288">
        <v>16910.643726742099</v>
      </c>
    </row>
    <row r="230" spans="6:121">
      <c r="F230" s="748" t="s">
        <v>1117</v>
      </c>
      <c r="G230" s="747"/>
      <c r="K230" s="748" t="s">
        <v>1117</v>
      </c>
      <c r="L230" s="747"/>
      <c r="P230" s="748" t="s">
        <v>1117</v>
      </c>
      <c r="Q230" s="747"/>
      <c r="U230" s="748" t="s">
        <v>1117</v>
      </c>
      <c r="V230" s="747"/>
      <c r="Y230" s="748" t="s">
        <v>1117</v>
      </c>
      <c r="Z230" s="747"/>
      <c r="AB230"/>
      <c r="AC230" s="748" t="s">
        <v>1117</v>
      </c>
      <c r="AD230" s="747"/>
      <c r="AG230" s="748" t="s">
        <v>1117</v>
      </c>
      <c r="AH230" s="747"/>
      <c r="AK230" s="748" t="s">
        <v>1117</v>
      </c>
      <c r="AL230" s="747"/>
      <c r="AO230" s="748" t="s">
        <v>1117</v>
      </c>
      <c r="AP230" s="747"/>
      <c r="AS230" s="748" t="s">
        <v>1117</v>
      </c>
      <c r="AT230" s="747"/>
      <c r="AY230" s="748" t="s">
        <v>1117</v>
      </c>
      <c r="AZ230" s="747"/>
      <c r="BD230" s="748" t="s">
        <v>1117</v>
      </c>
      <c r="BE230" s="747"/>
      <c r="BI230" s="748" t="s">
        <v>1117</v>
      </c>
      <c r="BJ230" s="747"/>
      <c r="BO230" s="748" t="s">
        <v>1117</v>
      </c>
      <c r="BP230" s="747"/>
      <c r="BV230" s="748" t="s">
        <v>1117</v>
      </c>
      <c r="BW230" s="747"/>
      <c r="CB230" s="748" t="s">
        <v>1117</v>
      </c>
      <c r="CC230" s="747"/>
      <c r="CH230" s="748" t="s">
        <v>1117</v>
      </c>
      <c r="CI230" s="747"/>
      <c r="CM230" s="748" t="s">
        <v>1117</v>
      </c>
      <c r="CN230" s="747"/>
      <c r="CQ230" s="748" t="s">
        <v>1117</v>
      </c>
      <c r="CR230" s="747"/>
      <c r="CU230" s="748" t="s">
        <v>1117</v>
      </c>
      <c r="CV230" s="747"/>
      <c r="CY230" s="748" t="s">
        <v>1117</v>
      </c>
      <c r="CZ230" s="747"/>
      <c r="DC230" s="748" t="s">
        <v>1117</v>
      </c>
      <c r="DD230" s="747"/>
      <c r="DG230" s="748" t="s">
        <v>1117</v>
      </c>
      <c r="DH230" s="747"/>
      <c r="DK230" s="748" t="s">
        <v>1117</v>
      </c>
      <c r="DL230" s="747"/>
      <c r="DO230" s="748" t="s">
        <v>1117</v>
      </c>
      <c r="DP230" s="747"/>
    </row>
    <row r="231" spans="6:121">
      <c r="F231" s="747" t="s">
        <v>1129</v>
      </c>
      <c r="G231" s="747">
        <v>0</v>
      </c>
      <c r="K231" s="747" t="s">
        <v>1129</v>
      </c>
      <c r="L231" s="747">
        <v>0</v>
      </c>
      <c r="P231" s="747" t="s">
        <v>1129</v>
      </c>
      <c r="Q231" s="747">
        <v>0</v>
      </c>
      <c r="U231" s="747" t="s">
        <v>1129</v>
      </c>
      <c r="V231" s="747">
        <v>0</v>
      </c>
      <c r="Y231" s="747" t="s">
        <v>1129</v>
      </c>
      <c r="Z231" s="747">
        <v>0</v>
      </c>
      <c r="AB231"/>
      <c r="AC231" s="747" t="s">
        <v>1129</v>
      </c>
      <c r="AD231" s="747">
        <v>0</v>
      </c>
      <c r="AG231" s="747" t="s">
        <v>1129</v>
      </c>
      <c r="AH231" s="747">
        <v>0</v>
      </c>
      <c r="AK231" s="747" t="s">
        <v>1129</v>
      </c>
      <c r="AL231" s="747">
        <v>0</v>
      </c>
      <c r="AO231" s="747" t="s">
        <v>1129</v>
      </c>
      <c r="AP231" s="747">
        <v>0</v>
      </c>
      <c r="AS231" s="747" t="s">
        <v>1129</v>
      </c>
      <c r="AT231" s="747">
        <v>0</v>
      </c>
      <c r="AY231" s="747" t="s">
        <v>1129</v>
      </c>
      <c r="AZ231" s="747">
        <v>0</v>
      </c>
      <c r="BD231" s="747" t="s">
        <v>1129</v>
      </c>
      <c r="BE231" s="747">
        <v>0</v>
      </c>
      <c r="BI231" s="747" t="s">
        <v>1129</v>
      </c>
      <c r="BJ231" s="747">
        <v>0</v>
      </c>
      <c r="BO231" s="747" t="s">
        <v>1129</v>
      </c>
      <c r="BP231" s="747">
        <v>0</v>
      </c>
      <c r="BV231" s="747" t="s">
        <v>1129</v>
      </c>
      <c r="BW231" s="747">
        <v>0</v>
      </c>
      <c r="CB231" s="747" t="s">
        <v>1129</v>
      </c>
      <c r="CC231" s="747">
        <v>0</v>
      </c>
      <c r="CH231" s="747" t="s">
        <v>1129</v>
      </c>
      <c r="CI231" s="747">
        <v>0</v>
      </c>
      <c r="CM231" s="747" t="s">
        <v>1129</v>
      </c>
      <c r="CN231" s="747">
        <v>0</v>
      </c>
      <c r="CQ231" s="747" t="s">
        <v>1129</v>
      </c>
      <c r="CR231" s="747">
        <v>0</v>
      </c>
      <c r="CU231" s="747" t="s">
        <v>1129</v>
      </c>
      <c r="CV231" s="747">
        <v>0</v>
      </c>
      <c r="CY231" s="747" t="s">
        <v>1129</v>
      </c>
      <c r="CZ231" s="747">
        <v>0</v>
      </c>
      <c r="DC231" s="747" t="s">
        <v>1129</v>
      </c>
      <c r="DD231" s="747">
        <v>0</v>
      </c>
      <c r="DG231" s="747" t="s">
        <v>1129</v>
      </c>
      <c r="DH231" s="747">
        <v>0</v>
      </c>
      <c r="DK231" s="747" t="s">
        <v>1129</v>
      </c>
      <c r="DL231" s="747">
        <v>0</v>
      </c>
      <c r="DO231" s="747" t="s">
        <v>1129</v>
      </c>
      <c r="DP231" s="747">
        <v>0</v>
      </c>
    </row>
    <row r="232" spans="6:121">
      <c r="F232" s="747" t="s">
        <v>1130</v>
      </c>
      <c r="G232" s="747">
        <v>213900</v>
      </c>
      <c r="K232" s="747" t="s">
        <v>1130</v>
      </c>
      <c r="L232" s="747">
        <v>178400</v>
      </c>
      <c r="P232" s="747" t="s">
        <v>1130</v>
      </c>
      <c r="Q232" s="747">
        <v>152000</v>
      </c>
      <c r="U232" s="747" t="s">
        <v>1130</v>
      </c>
      <c r="V232" s="747">
        <v>148300</v>
      </c>
      <c r="Y232" s="747" t="s">
        <v>1130</v>
      </c>
      <c r="Z232" s="747">
        <v>148300</v>
      </c>
      <c r="AB232"/>
      <c r="AC232" s="747" t="s">
        <v>1130</v>
      </c>
      <c r="AD232" s="747">
        <v>148300</v>
      </c>
      <c r="AG232" s="747" t="s">
        <v>1130</v>
      </c>
      <c r="AH232" s="747">
        <v>148300</v>
      </c>
      <c r="AK232" s="747" t="s">
        <v>1130</v>
      </c>
      <c r="AL232" s="747">
        <v>148300</v>
      </c>
      <c r="AO232" s="747" t="s">
        <v>1130</v>
      </c>
      <c r="AP232" s="747">
        <v>148300</v>
      </c>
      <c r="AS232" s="747" t="s">
        <v>1130</v>
      </c>
      <c r="AT232" s="747">
        <v>148300</v>
      </c>
      <c r="AY232" s="747" t="s">
        <v>1130</v>
      </c>
      <c r="AZ232" s="747">
        <v>148300</v>
      </c>
      <c r="BD232" s="747" t="s">
        <v>1130</v>
      </c>
      <c r="BE232" s="747">
        <v>148300</v>
      </c>
      <c r="BI232" s="747" t="s">
        <v>1130</v>
      </c>
      <c r="BJ232" s="747">
        <v>148300</v>
      </c>
      <c r="BO232" s="747" t="s">
        <v>1130</v>
      </c>
      <c r="BP232" s="747">
        <v>148300</v>
      </c>
      <c r="BV232" s="747" t="s">
        <v>1130</v>
      </c>
      <c r="BW232" s="747">
        <v>148300</v>
      </c>
      <c r="CB232" s="747" t="s">
        <v>1130</v>
      </c>
      <c r="CC232" s="747">
        <v>148300</v>
      </c>
      <c r="CH232" s="747" t="s">
        <v>1130</v>
      </c>
      <c r="CI232" s="747">
        <v>148300</v>
      </c>
      <c r="CM232" s="747" t="s">
        <v>1130</v>
      </c>
      <c r="CN232" s="747">
        <v>148300</v>
      </c>
      <c r="CQ232" s="747" t="s">
        <v>1130</v>
      </c>
      <c r="CR232" s="747">
        <v>148300</v>
      </c>
      <c r="CU232" s="747" t="s">
        <v>1130</v>
      </c>
      <c r="CV232" s="747">
        <v>148300</v>
      </c>
      <c r="CY232" s="747" t="s">
        <v>1130</v>
      </c>
      <c r="CZ232" s="747">
        <v>148300</v>
      </c>
      <c r="DC232" s="747" t="s">
        <v>1130</v>
      </c>
      <c r="DD232" s="747">
        <v>148300</v>
      </c>
      <c r="DG232" s="747" t="s">
        <v>1130</v>
      </c>
      <c r="DH232" s="747">
        <v>148300</v>
      </c>
      <c r="DK232" s="747" t="s">
        <v>1130</v>
      </c>
      <c r="DL232" s="747">
        <v>148300</v>
      </c>
      <c r="DO232" s="747" t="s">
        <v>1130</v>
      </c>
      <c r="DP232" s="747">
        <v>148300</v>
      </c>
    </row>
    <row r="233" spans="6:121">
      <c r="F233" s="747" t="s">
        <v>1131</v>
      </c>
      <c r="G233" s="747">
        <v>283500</v>
      </c>
      <c r="K233" s="747" t="s">
        <v>1131</v>
      </c>
      <c r="L233" s="747">
        <v>156200</v>
      </c>
      <c r="P233" s="747" t="s">
        <v>1131</v>
      </c>
      <c r="Q233" s="747">
        <v>125100</v>
      </c>
      <c r="U233" s="747" t="s">
        <v>1131</v>
      </c>
      <c r="V233" s="747">
        <v>107300</v>
      </c>
      <c r="Y233" s="747" t="s">
        <v>1131</v>
      </c>
      <c r="Z233" s="747">
        <v>107300</v>
      </c>
      <c r="AB233"/>
      <c r="AC233" s="747" t="s">
        <v>1131</v>
      </c>
      <c r="AD233" s="747">
        <v>107300</v>
      </c>
      <c r="AG233" s="747" t="s">
        <v>1131</v>
      </c>
      <c r="AH233" s="747">
        <v>107300</v>
      </c>
      <c r="AK233" s="747" t="s">
        <v>1131</v>
      </c>
      <c r="AL233" s="747">
        <v>107300</v>
      </c>
      <c r="AO233" s="747" t="s">
        <v>1131</v>
      </c>
      <c r="AP233" s="747">
        <v>107300</v>
      </c>
      <c r="AS233" s="747" t="s">
        <v>1131</v>
      </c>
      <c r="AT233" s="747">
        <v>107300</v>
      </c>
      <c r="AY233" s="747" t="s">
        <v>1131</v>
      </c>
      <c r="AZ233" s="747">
        <v>107300</v>
      </c>
      <c r="BD233" s="747" t="s">
        <v>1131</v>
      </c>
      <c r="BE233" s="747">
        <v>107300</v>
      </c>
      <c r="BI233" s="747" t="s">
        <v>1131</v>
      </c>
      <c r="BJ233" s="747">
        <v>107300</v>
      </c>
      <c r="BO233" s="747" t="s">
        <v>1131</v>
      </c>
      <c r="BP233" s="747">
        <v>107300</v>
      </c>
      <c r="BV233" s="747" t="s">
        <v>1131</v>
      </c>
      <c r="BW233" s="747">
        <v>107300</v>
      </c>
      <c r="CB233" s="747" t="s">
        <v>1131</v>
      </c>
      <c r="CC233" s="747">
        <v>107300</v>
      </c>
      <c r="CH233" s="747" t="s">
        <v>1131</v>
      </c>
      <c r="CI233" s="747">
        <v>107300</v>
      </c>
      <c r="CM233" s="747" t="s">
        <v>1131</v>
      </c>
      <c r="CN233" s="747">
        <v>107300</v>
      </c>
      <c r="CQ233" s="747" t="s">
        <v>1131</v>
      </c>
      <c r="CR233" s="747">
        <v>107300</v>
      </c>
      <c r="CU233" s="747" t="s">
        <v>1131</v>
      </c>
      <c r="CV233" s="747">
        <v>107300</v>
      </c>
      <c r="CY233" s="747" t="s">
        <v>1131</v>
      </c>
      <c r="CZ233" s="747">
        <v>107300</v>
      </c>
      <c r="DC233" s="747" t="s">
        <v>1131</v>
      </c>
      <c r="DD233" s="747">
        <v>107300</v>
      </c>
      <c r="DG233" s="747" t="s">
        <v>1131</v>
      </c>
      <c r="DH233" s="747">
        <v>107300</v>
      </c>
      <c r="DK233" s="747" t="s">
        <v>1131</v>
      </c>
      <c r="DL233" s="747">
        <v>107300</v>
      </c>
      <c r="DO233" s="747" t="s">
        <v>1131</v>
      </c>
      <c r="DP233" s="747">
        <v>107300</v>
      </c>
    </row>
    <row r="234" spans="6:121">
      <c r="F234" s="747" t="s">
        <v>1132</v>
      </c>
      <c r="G234" s="747">
        <v>0</v>
      </c>
      <c r="K234" s="747" t="s">
        <v>1132</v>
      </c>
      <c r="L234" s="747">
        <v>0</v>
      </c>
      <c r="P234" s="747" t="s">
        <v>1132</v>
      </c>
      <c r="Q234" s="747">
        <v>0</v>
      </c>
      <c r="U234" s="747" t="s">
        <v>1132</v>
      </c>
      <c r="V234" s="747">
        <v>0</v>
      </c>
      <c r="Y234" s="747" t="s">
        <v>1132</v>
      </c>
      <c r="Z234" s="747">
        <v>0</v>
      </c>
      <c r="AB234"/>
      <c r="AC234" s="747" t="s">
        <v>1132</v>
      </c>
      <c r="AD234" s="747">
        <v>0</v>
      </c>
      <c r="AG234" s="747" t="s">
        <v>1132</v>
      </c>
      <c r="AH234" s="747">
        <v>0</v>
      </c>
      <c r="AK234" s="747" t="s">
        <v>1132</v>
      </c>
      <c r="AL234" s="747">
        <v>0</v>
      </c>
      <c r="AO234" s="747" t="s">
        <v>1132</v>
      </c>
      <c r="AP234" s="747">
        <v>0</v>
      </c>
      <c r="AS234" s="747" t="s">
        <v>1132</v>
      </c>
      <c r="AT234" s="747">
        <v>0</v>
      </c>
      <c r="AY234" s="747" t="s">
        <v>1132</v>
      </c>
      <c r="AZ234" s="747">
        <v>0</v>
      </c>
      <c r="BD234" s="747" t="s">
        <v>1132</v>
      </c>
      <c r="BE234" s="747">
        <v>0</v>
      </c>
      <c r="BI234" s="747" t="s">
        <v>1132</v>
      </c>
      <c r="BJ234" s="747">
        <v>0</v>
      </c>
      <c r="BO234" s="747" t="s">
        <v>1132</v>
      </c>
      <c r="BP234" s="747">
        <v>0</v>
      </c>
      <c r="BV234" s="747" t="s">
        <v>1132</v>
      </c>
      <c r="BW234" s="747">
        <v>0</v>
      </c>
      <c r="CB234" s="747" t="s">
        <v>1132</v>
      </c>
      <c r="CC234" s="747">
        <v>0</v>
      </c>
      <c r="CH234" s="747" t="s">
        <v>1132</v>
      </c>
      <c r="CI234" s="747">
        <v>0</v>
      </c>
      <c r="CM234" s="747" t="s">
        <v>1132</v>
      </c>
      <c r="CN234" s="747">
        <v>0</v>
      </c>
      <c r="CQ234" s="747" t="s">
        <v>1132</v>
      </c>
      <c r="CR234" s="747">
        <v>0</v>
      </c>
      <c r="CU234" s="747" t="s">
        <v>1132</v>
      </c>
      <c r="CV234" s="747">
        <v>0</v>
      </c>
      <c r="CY234" s="747" t="s">
        <v>1132</v>
      </c>
      <c r="CZ234" s="747">
        <v>0</v>
      </c>
      <c r="DC234" s="747" t="s">
        <v>1132</v>
      </c>
      <c r="DD234" s="747">
        <v>0</v>
      </c>
      <c r="DG234" s="747" t="s">
        <v>1132</v>
      </c>
      <c r="DH234" s="747">
        <v>0</v>
      </c>
      <c r="DK234" s="747" t="s">
        <v>1132</v>
      </c>
      <c r="DL234" s="747">
        <v>0</v>
      </c>
      <c r="DO234" s="747" t="s">
        <v>1132</v>
      </c>
      <c r="DP234" s="747">
        <v>0</v>
      </c>
    </row>
    <row r="235" spans="6:121">
      <c r="F235" s="747" t="s">
        <v>1133</v>
      </c>
      <c r="G235" s="747">
        <v>12508391.415380482</v>
      </c>
      <c r="K235" s="747" t="s">
        <v>1133</v>
      </c>
      <c r="L235" s="747">
        <v>7941951.3211905081</v>
      </c>
      <c r="P235" s="747" t="s">
        <v>1133</v>
      </c>
      <c r="Q235" s="747">
        <v>7961960.2014909731</v>
      </c>
      <c r="U235" s="747" t="s">
        <v>1133</v>
      </c>
      <c r="V235" s="747">
        <v>6956169.7351778662</v>
      </c>
      <c r="Y235" s="747" t="s">
        <v>1133</v>
      </c>
      <c r="Z235" s="747">
        <v>6956169.7351778662</v>
      </c>
      <c r="AB235"/>
      <c r="AC235" s="747" t="s">
        <v>1133</v>
      </c>
      <c r="AD235" s="747">
        <v>6956169.7351778662</v>
      </c>
      <c r="AG235" s="747" t="s">
        <v>1133</v>
      </c>
      <c r="AH235" s="747">
        <v>6956169.7351778662</v>
      </c>
      <c r="AK235" s="747" t="s">
        <v>1133</v>
      </c>
      <c r="AL235" s="747">
        <v>6956169.7351778662</v>
      </c>
      <c r="AO235" s="747" t="s">
        <v>1133</v>
      </c>
      <c r="AP235" s="747">
        <v>6956169.7351778662</v>
      </c>
      <c r="AS235" s="747" t="s">
        <v>1133</v>
      </c>
      <c r="AT235" s="747">
        <v>6956169.7351778662</v>
      </c>
      <c r="AY235" s="747" t="s">
        <v>1133</v>
      </c>
      <c r="AZ235" s="747">
        <v>6956169.7351778662</v>
      </c>
      <c r="BD235" s="747" t="s">
        <v>1133</v>
      </c>
      <c r="BE235" s="747">
        <v>6956169.7351778662</v>
      </c>
      <c r="BI235" s="747" t="s">
        <v>1133</v>
      </c>
      <c r="BJ235" s="747">
        <v>6956169.7351778662</v>
      </c>
      <c r="BO235" s="747" t="s">
        <v>1133</v>
      </c>
      <c r="BP235" s="747">
        <v>6956169.7351778662</v>
      </c>
      <c r="BV235" s="747" t="s">
        <v>1133</v>
      </c>
      <c r="BW235" s="747">
        <v>6956169.7351778662</v>
      </c>
      <c r="CB235" s="747" t="s">
        <v>1133</v>
      </c>
      <c r="CC235" s="747">
        <v>6956169.7351778662</v>
      </c>
      <c r="CH235" s="747" t="s">
        <v>1133</v>
      </c>
      <c r="CI235" s="747">
        <v>6956169.7351778662</v>
      </c>
      <c r="CM235" s="747" t="s">
        <v>1133</v>
      </c>
      <c r="CN235" s="747">
        <v>6956169.7351778662</v>
      </c>
      <c r="CQ235" s="747" t="s">
        <v>1133</v>
      </c>
      <c r="CR235" s="747">
        <v>6956169.7351778662</v>
      </c>
      <c r="CU235" s="747" t="s">
        <v>1133</v>
      </c>
      <c r="CV235" s="747">
        <v>6956169.7351778662</v>
      </c>
      <c r="CY235" s="747" t="s">
        <v>1133</v>
      </c>
      <c r="CZ235" s="747">
        <v>6956169.7351778662</v>
      </c>
      <c r="DC235" s="747" t="s">
        <v>1133</v>
      </c>
      <c r="DD235" s="747">
        <v>6956169.7351778662</v>
      </c>
      <c r="DG235" s="747" t="s">
        <v>1133</v>
      </c>
      <c r="DH235" s="747">
        <v>6956169.7351778662</v>
      </c>
      <c r="DK235" s="747" t="s">
        <v>1133</v>
      </c>
      <c r="DL235" s="747">
        <v>6956169.7351778662</v>
      </c>
      <c r="DO235" s="747" t="s">
        <v>1133</v>
      </c>
      <c r="DP235" s="747">
        <v>6956169.7351778662</v>
      </c>
    </row>
    <row r="236" spans="6:121">
      <c r="F236" s="747" t="s">
        <v>1134</v>
      </c>
      <c r="G236" s="747">
        <v>17600</v>
      </c>
      <c r="K236" s="747" t="s">
        <v>1134</v>
      </c>
      <c r="L236" s="747">
        <v>11900</v>
      </c>
      <c r="P236" s="747" t="s">
        <v>1134</v>
      </c>
      <c r="Q236" s="747">
        <v>11600</v>
      </c>
      <c r="U236" s="747" t="s">
        <v>1134</v>
      </c>
      <c r="V236" s="747">
        <v>11200</v>
      </c>
      <c r="Y236" s="747" t="s">
        <v>1134</v>
      </c>
      <c r="Z236" s="747">
        <v>11200</v>
      </c>
      <c r="AB236"/>
      <c r="AC236" s="747" t="s">
        <v>1134</v>
      </c>
      <c r="AD236" s="747">
        <v>11200</v>
      </c>
      <c r="AG236" s="747" t="s">
        <v>1134</v>
      </c>
      <c r="AH236" s="747">
        <v>11200</v>
      </c>
      <c r="AK236" s="747" t="s">
        <v>1134</v>
      </c>
      <c r="AL236" s="747">
        <v>11200</v>
      </c>
      <c r="AO236" s="747" t="s">
        <v>1134</v>
      </c>
      <c r="AP236" s="747">
        <v>11200</v>
      </c>
      <c r="AS236" s="747" t="s">
        <v>1134</v>
      </c>
      <c r="AT236" s="747">
        <v>11200</v>
      </c>
      <c r="AY236" s="747" t="s">
        <v>1134</v>
      </c>
      <c r="AZ236" s="747">
        <v>11200</v>
      </c>
      <c r="BD236" s="747" t="s">
        <v>1134</v>
      </c>
      <c r="BE236" s="747">
        <v>11200</v>
      </c>
      <c r="BI236" s="747" t="s">
        <v>1134</v>
      </c>
      <c r="BJ236" s="747">
        <v>11200</v>
      </c>
      <c r="BO236" s="747" t="s">
        <v>1134</v>
      </c>
      <c r="BP236" s="747">
        <v>11200</v>
      </c>
      <c r="BV236" s="747" t="s">
        <v>1134</v>
      </c>
      <c r="BW236" s="747">
        <v>11200</v>
      </c>
      <c r="CB236" s="747" t="s">
        <v>1134</v>
      </c>
      <c r="CC236" s="747">
        <v>11200</v>
      </c>
      <c r="CH236" s="747" t="s">
        <v>1134</v>
      </c>
      <c r="CI236" s="747">
        <v>11200</v>
      </c>
      <c r="CM236" s="747" t="s">
        <v>1134</v>
      </c>
      <c r="CN236" s="747">
        <v>11200</v>
      </c>
      <c r="CQ236" s="747" t="s">
        <v>1134</v>
      </c>
      <c r="CR236" s="747">
        <v>11200</v>
      </c>
      <c r="CU236" s="747" t="s">
        <v>1134</v>
      </c>
      <c r="CV236" s="747">
        <v>11200</v>
      </c>
      <c r="CY236" s="747" t="s">
        <v>1134</v>
      </c>
      <c r="CZ236" s="747">
        <v>11200</v>
      </c>
      <c r="DC236" s="747" t="s">
        <v>1134</v>
      </c>
      <c r="DD236" s="747">
        <v>11200</v>
      </c>
      <c r="DG236" s="747" t="s">
        <v>1134</v>
      </c>
      <c r="DH236" s="747">
        <v>11200</v>
      </c>
      <c r="DK236" s="747" t="s">
        <v>1134</v>
      </c>
      <c r="DL236" s="747">
        <v>11200</v>
      </c>
      <c r="DO236" s="747" t="s">
        <v>1134</v>
      </c>
      <c r="DP236" s="747">
        <v>11200</v>
      </c>
    </row>
    <row r="237" spans="6:121">
      <c r="F237" s="747" t="s">
        <v>1135</v>
      </c>
      <c r="G237" s="747">
        <v>1963100</v>
      </c>
      <c r="K237" s="747" t="s">
        <v>1135</v>
      </c>
      <c r="L237" s="747">
        <v>1220200</v>
      </c>
      <c r="P237" s="747" t="s">
        <v>1135</v>
      </c>
      <c r="Q237" s="747">
        <v>1130300</v>
      </c>
      <c r="U237" s="747" t="s">
        <v>1135</v>
      </c>
      <c r="V237" s="747">
        <v>1005200</v>
      </c>
      <c r="Y237" s="747" t="s">
        <v>1135</v>
      </c>
      <c r="Z237" s="747">
        <v>1005200</v>
      </c>
      <c r="AB237"/>
      <c r="AC237" s="747" t="s">
        <v>1135</v>
      </c>
      <c r="AD237" s="747">
        <v>1005200</v>
      </c>
      <c r="AG237" s="747" t="s">
        <v>1135</v>
      </c>
      <c r="AH237" s="747">
        <v>1005200</v>
      </c>
      <c r="AK237" s="747" t="s">
        <v>1135</v>
      </c>
      <c r="AL237" s="747">
        <v>1005200</v>
      </c>
      <c r="AO237" s="747" t="s">
        <v>1135</v>
      </c>
      <c r="AP237" s="747">
        <v>1005200</v>
      </c>
      <c r="AS237" s="747" t="s">
        <v>1135</v>
      </c>
      <c r="AT237" s="747">
        <v>1005200</v>
      </c>
      <c r="AY237" s="747" t="s">
        <v>1135</v>
      </c>
      <c r="AZ237" s="747">
        <v>1005200</v>
      </c>
      <c r="BD237" s="747" t="s">
        <v>1135</v>
      </c>
      <c r="BE237" s="747">
        <v>1005200</v>
      </c>
      <c r="BI237" s="747" t="s">
        <v>1135</v>
      </c>
      <c r="BJ237" s="747">
        <v>1005200</v>
      </c>
      <c r="BO237" s="747" t="s">
        <v>1135</v>
      </c>
      <c r="BP237" s="747">
        <v>1005200</v>
      </c>
      <c r="BV237" s="747" t="s">
        <v>1135</v>
      </c>
      <c r="BW237" s="747">
        <v>1005200</v>
      </c>
      <c r="CB237" s="747" t="s">
        <v>1135</v>
      </c>
      <c r="CC237" s="747">
        <v>1005200</v>
      </c>
      <c r="CH237" s="747" t="s">
        <v>1135</v>
      </c>
      <c r="CI237" s="747">
        <v>1005200</v>
      </c>
      <c r="CM237" s="747" t="s">
        <v>1135</v>
      </c>
      <c r="CN237" s="747">
        <v>1005200</v>
      </c>
      <c r="CQ237" s="747" t="s">
        <v>1135</v>
      </c>
      <c r="CR237" s="747">
        <v>1005200</v>
      </c>
      <c r="CU237" s="747" t="s">
        <v>1135</v>
      </c>
      <c r="CV237" s="747">
        <v>1005200</v>
      </c>
      <c r="CY237" s="747" t="s">
        <v>1135</v>
      </c>
      <c r="CZ237" s="747">
        <v>1005200</v>
      </c>
      <c r="DC237" s="747" t="s">
        <v>1135</v>
      </c>
      <c r="DD237" s="747">
        <v>1005200</v>
      </c>
      <c r="DG237" s="747" t="s">
        <v>1135</v>
      </c>
      <c r="DH237" s="747">
        <v>1005200</v>
      </c>
      <c r="DK237" s="747" t="s">
        <v>1135</v>
      </c>
      <c r="DL237" s="747">
        <v>1005200</v>
      </c>
      <c r="DO237" s="747" t="s">
        <v>1135</v>
      </c>
      <c r="DP237" s="747">
        <v>1005200</v>
      </c>
    </row>
    <row r="238" spans="6:121">
      <c r="F238" s="747" t="s">
        <v>1072</v>
      </c>
      <c r="G238" s="747">
        <v>10600</v>
      </c>
      <c r="K238" s="747" t="s">
        <v>1072</v>
      </c>
      <c r="L238" s="747">
        <v>8100</v>
      </c>
      <c r="P238" s="747" t="s">
        <v>1072</v>
      </c>
      <c r="Q238" s="747">
        <v>8400</v>
      </c>
      <c r="U238" s="747" t="s">
        <v>1072</v>
      </c>
      <c r="V238" s="747">
        <v>7800</v>
      </c>
      <c r="Y238" s="747" t="s">
        <v>1072</v>
      </c>
      <c r="Z238" s="747">
        <v>7800</v>
      </c>
      <c r="AB238"/>
      <c r="AC238" s="747" t="s">
        <v>1072</v>
      </c>
      <c r="AD238" s="747">
        <v>7800</v>
      </c>
      <c r="AG238" s="747" t="s">
        <v>1072</v>
      </c>
      <c r="AH238" s="747">
        <v>7800</v>
      </c>
      <c r="AK238" s="747" t="s">
        <v>1072</v>
      </c>
      <c r="AL238" s="747">
        <v>7800</v>
      </c>
      <c r="AO238" s="747" t="s">
        <v>1072</v>
      </c>
      <c r="AP238" s="747">
        <v>7800</v>
      </c>
      <c r="AS238" s="747" t="s">
        <v>1072</v>
      </c>
      <c r="AT238" s="747">
        <v>7800</v>
      </c>
      <c r="AY238" s="747" t="s">
        <v>1072</v>
      </c>
      <c r="AZ238" s="747">
        <v>7800</v>
      </c>
      <c r="BD238" s="747" t="s">
        <v>1072</v>
      </c>
      <c r="BE238" s="747">
        <v>7800</v>
      </c>
      <c r="BI238" s="747" t="s">
        <v>1072</v>
      </c>
      <c r="BJ238" s="747">
        <v>7800</v>
      </c>
      <c r="BO238" s="747" t="s">
        <v>1072</v>
      </c>
      <c r="BP238" s="747">
        <v>7800</v>
      </c>
      <c r="BV238" s="747" t="s">
        <v>1072</v>
      </c>
      <c r="BW238" s="747">
        <v>7800</v>
      </c>
      <c r="CB238" s="747" t="s">
        <v>1072</v>
      </c>
      <c r="CC238" s="747">
        <v>7800</v>
      </c>
      <c r="CH238" s="747" t="s">
        <v>1072</v>
      </c>
      <c r="CI238" s="747">
        <v>7800</v>
      </c>
      <c r="CM238" s="747" t="s">
        <v>1072</v>
      </c>
      <c r="CN238" s="747">
        <v>7800</v>
      </c>
      <c r="CQ238" s="747" t="s">
        <v>1072</v>
      </c>
      <c r="CR238" s="747">
        <v>7800</v>
      </c>
      <c r="CU238" s="747" t="s">
        <v>1072</v>
      </c>
      <c r="CV238" s="747">
        <v>7800</v>
      </c>
      <c r="CY238" s="747" t="s">
        <v>1072</v>
      </c>
      <c r="CZ238" s="747">
        <v>7800</v>
      </c>
      <c r="DC238" s="747" t="s">
        <v>1072</v>
      </c>
      <c r="DD238" s="747">
        <v>7800</v>
      </c>
      <c r="DG238" s="747" t="s">
        <v>1072</v>
      </c>
      <c r="DH238" s="747">
        <v>7800</v>
      </c>
      <c r="DK238" s="747" t="s">
        <v>1072</v>
      </c>
      <c r="DL238" s="747">
        <v>7800</v>
      </c>
      <c r="DO238" s="747" t="s">
        <v>1072</v>
      </c>
      <c r="DP238" s="747">
        <v>7800</v>
      </c>
    </row>
    <row r="239" spans="6:121">
      <c r="F239" s="747" t="s">
        <v>1128</v>
      </c>
      <c r="G239" s="747">
        <v>1067600</v>
      </c>
      <c r="K239" s="747" t="s">
        <v>1128</v>
      </c>
      <c r="L239" s="747">
        <v>765300</v>
      </c>
      <c r="P239" s="747" t="s">
        <v>1128</v>
      </c>
      <c r="Q239" s="747">
        <v>568900</v>
      </c>
      <c r="U239" s="747" t="s">
        <v>1128</v>
      </c>
      <c r="V239" s="747">
        <v>525900</v>
      </c>
      <c r="Y239" s="747" t="s">
        <v>1128</v>
      </c>
      <c r="Z239" s="747">
        <v>525900</v>
      </c>
      <c r="AB239"/>
      <c r="AC239" s="747" t="s">
        <v>1128</v>
      </c>
      <c r="AD239" s="747">
        <v>525900</v>
      </c>
      <c r="AG239" s="747" t="s">
        <v>1128</v>
      </c>
      <c r="AH239" s="747">
        <v>525900</v>
      </c>
      <c r="AK239" s="747" t="s">
        <v>1128</v>
      </c>
      <c r="AL239" s="747">
        <v>525900</v>
      </c>
      <c r="AO239" s="747" t="s">
        <v>1128</v>
      </c>
      <c r="AP239" s="747">
        <v>525900</v>
      </c>
      <c r="AS239" s="747" t="s">
        <v>1128</v>
      </c>
      <c r="AT239" s="747">
        <v>525900</v>
      </c>
      <c r="AY239" s="747" t="s">
        <v>1128</v>
      </c>
      <c r="AZ239" s="747">
        <v>525900</v>
      </c>
      <c r="BD239" s="747" t="s">
        <v>1128</v>
      </c>
      <c r="BE239" s="747">
        <v>525900</v>
      </c>
      <c r="BI239" s="747" t="s">
        <v>1128</v>
      </c>
      <c r="BJ239" s="747">
        <v>525900</v>
      </c>
      <c r="BO239" s="747" t="s">
        <v>1128</v>
      </c>
      <c r="BP239" s="747">
        <v>525900</v>
      </c>
      <c r="BV239" s="747" t="s">
        <v>1128</v>
      </c>
      <c r="BW239" s="747">
        <v>525900</v>
      </c>
      <c r="CB239" s="747" t="s">
        <v>1128</v>
      </c>
      <c r="CC239" s="747">
        <v>525900</v>
      </c>
      <c r="CH239" s="747" t="s">
        <v>1128</v>
      </c>
      <c r="CI239" s="747">
        <v>525900</v>
      </c>
      <c r="CM239" s="747" t="s">
        <v>1128</v>
      </c>
      <c r="CN239" s="747">
        <v>525900</v>
      </c>
      <c r="CQ239" s="747" t="s">
        <v>1128</v>
      </c>
      <c r="CR239" s="747">
        <v>525900</v>
      </c>
      <c r="CU239" s="747" t="s">
        <v>1128</v>
      </c>
      <c r="CV239" s="747">
        <v>525900</v>
      </c>
      <c r="CY239" s="747" t="s">
        <v>1128</v>
      </c>
      <c r="CZ239" s="747">
        <v>525900</v>
      </c>
      <c r="DC239" s="747" t="s">
        <v>1128</v>
      </c>
      <c r="DD239" s="747">
        <v>525900</v>
      </c>
      <c r="DG239" s="747" t="s">
        <v>1128</v>
      </c>
      <c r="DH239" s="747">
        <v>525900</v>
      </c>
      <c r="DK239" s="747" t="s">
        <v>1128</v>
      </c>
      <c r="DL239" s="747">
        <v>525900</v>
      </c>
      <c r="DO239" s="747" t="s">
        <v>1128</v>
      </c>
      <c r="DP239" s="747">
        <v>525900</v>
      </c>
    </row>
    <row r="240" spans="6:121">
      <c r="F240" s="747" t="s">
        <v>1136</v>
      </c>
      <c r="G240" s="747">
        <v>0</v>
      </c>
      <c r="K240" s="747" t="s">
        <v>1136</v>
      </c>
      <c r="L240" s="747">
        <v>0</v>
      </c>
      <c r="P240" s="747" t="s">
        <v>1136</v>
      </c>
      <c r="Q240" s="747">
        <v>0</v>
      </c>
      <c r="U240" s="747" t="s">
        <v>1136</v>
      </c>
      <c r="V240" s="747">
        <v>0</v>
      </c>
      <c r="Y240" s="747" t="s">
        <v>1136</v>
      </c>
      <c r="Z240" s="747">
        <v>0</v>
      </c>
      <c r="AB240"/>
      <c r="AC240" s="747" t="s">
        <v>1136</v>
      </c>
      <c r="AD240" s="747">
        <v>0</v>
      </c>
      <c r="AG240" s="747" t="s">
        <v>1136</v>
      </c>
      <c r="AH240" s="747">
        <v>0</v>
      </c>
      <c r="AK240" s="747" t="s">
        <v>1136</v>
      </c>
      <c r="AL240" s="747">
        <v>0</v>
      </c>
      <c r="AO240" s="747" t="s">
        <v>1136</v>
      </c>
      <c r="AP240" s="747">
        <v>0</v>
      </c>
      <c r="AS240" s="747" t="s">
        <v>1136</v>
      </c>
      <c r="AT240" s="747">
        <v>0</v>
      </c>
      <c r="AY240" s="747" t="s">
        <v>1136</v>
      </c>
      <c r="AZ240" s="747">
        <v>0</v>
      </c>
      <c r="BD240" s="747" t="s">
        <v>1136</v>
      </c>
      <c r="BE240" s="747">
        <v>0</v>
      </c>
      <c r="BI240" s="747" t="s">
        <v>1136</v>
      </c>
      <c r="BJ240" s="747">
        <v>0</v>
      </c>
      <c r="BO240" s="747" t="s">
        <v>1136</v>
      </c>
      <c r="BP240" s="747">
        <v>0</v>
      </c>
      <c r="BV240" s="747" t="s">
        <v>1136</v>
      </c>
      <c r="BW240" s="747">
        <v>0</v>
      </c>
      <c r="CB240" s="747" t="s">
        <v>1136</v>
      </c>
      <c r="CC240" s="747">
        <v>0</v>
      </c>
      <c r="CH240" s="747" t="s">
        <v>1136</v>
      </c>
      <c r="CI240" s="747">
        <v>0</v>
      </c>
      <c r="CM240" s="747" t="s">
        <v>1136</v>
      </c>
      <c r="CN240" s="747">
        <v>0</v>
      </c>
      <c r="CQ240" s="747" t="s">
        <v>1136</v>
      </c>
      <c r="CR240" s="747">
        <v>0</v>
      </c>
      <c r="CU240" s="747" t="s">
        <v>1136</v>
      </c>
      <c r="CV240" s="747">
        <v>0</v>
      </c>
      <c r="CY240" s="747" t="s">
        <v>1136</v>
      </c>
      <c r="CZ240" s="747">
        <v>0</v>
      </c>
      <c r="DC240" s="747" t="s">
        <v>1136</v>
      </c>
      <c r="DD240" s="747">
        <v>0</v>
      </c>
      <c r="DG240" s="747" t="s">
        <v>1136</v>
      </c>
      <c r="DH240" s="747">
        <v>0</v>
      </c>
      <c r="DK240" s="747" t="s">
        <v>1136</v>
      </c>
      <c r="DL240" s="747">
        <v>0</v>
      </c>
      <c r="DO240" s="747" t="s">
        <v>1136</v>
      </c>
      <c r="DP240" s="747">
        <v>0</v>
      </c>
    </row>
    <row r="241" spans="6:120">
      <c r="F241" s="747" t="s">
        <v>1137</v>
      </c>
      <c r="G241" s="747">
        <v>1839800</v>
      </c>
      <c r="K241" s="747" t="s">
        <v>1137</v>
      </c>
      <c r="L241" s="747">
        <v>1545400</v>
      </c>
      <c r="P241" s="747" t="s">
        <v>1137</v>
      </c>
      <c r="Q241" s="747">
        <v>1303100</v>
      </c>
      <c r="U241" s="747" t="s">
        <v>1137</v>
      </c>
      <c r="V241" s="747">
        <v>1267100</v>
      </c>
      <c r="Y241" s="747" t="s">
        <v>1137</v>
      </c>
      <c r="Z241" s="747">
        <v>1267100</v>
      </c>
      <c r="AB241"/>
      <c r="AC241" s="747" t="s">
        <v>1137</v>
      </c>
      <c r="AD241" s="747">
        <v>1267100</v>
      </c>
      <c r="AG241" s="747" t="s">
        <v>1137</v>
      </c>
      <c r="AH241" s="747">
        <v>1267100</v>
      </c>
      <c r="AK241" s="747" t="s">
        <v>1137</v>
      </c>
      <c r="AL241" s="747">
        <v>1267100</v>
      </c>
      <c r="AO241" s="747" t="s">
        <v>1137</v>
      </c>
      <c r="AP241" s="747">
        <v>1267100</v>
      </c>
      <c r="AS241" s="747" t="s">
        <v>1137</v>
      </c>
      <c r="AT241" s="747">
        <v>1267100</v>
      </c>
      <c r="AY241" s="747" t="s">
        <v>1137</v>
      </c>
      <c r="AZ241" s="747">
        <v>1267100</v>
      </c>
      <c r="BD241" s="747" t="s">
        <v>1137</v>
      </c>
      <c r="BE241" s="747">
        <v>1267100</v>
      </c>
      <c r="BI241" s="747" t="s">
        <v>1137</v>
      </c>
      <c r="BJ241" s="747">
        <v>1267100</v>
      </c>
      <c r="BO241" s="747" t="s">
        <v>1137</v>
      </c>
      <c r="BP241" s="747">
        <v>1267100</v>
      </c>
      <c r="BV241" s="747" t="s">
        <v>1137</v>
      </c>
      <c r="BW241" s="747">
        <v>1267100</v>
      </c>
      <c r="CB241" s="747" t="s">
        <v>1137</v>
      </c>
      <c r="CC241" s="747">
        <v>1267100</v>
      </c>
      <c r="CH241" s="747" t="s">
        <v>1137</v>
      </c>
      <c r="CI241" s="747">
        <v>1267100</v>
      </c>
      <c r="CM241" s="747" t="s">
        <v>1137</v>
      </c>
      <c r="CN241" s="747">
        <v>1267100</v>
      </c>
      <c r="CQ241" s="747" t="s">
        <v>1137</v>
      </c>
      <c r="CR241" s="747">
        <v>1267100</v>
      </c>
      <c r="CU241" s="747" t="s">
        <v>1137</v>
      </c>
      <c r="CV241" s="747">
        <v>1267100</v>
      </c>
      <c r="CY241" s="747" t="s">
        <v>1137</v>
      </c>
      <c r="CZ241" s="747">
        <v>1267100</v>
      </c>
      <c r="DC241" s="747" t="s">
        <v>1137</v>
      </c>
      <c r="DD241" s="747">
        <v>1267100</v>
      </c>
      <c r="DG241" s="747" t="s">
        <v>1137</v>
      </c>
      <c r="DH241" s="747">
        <v>1267100</v>
      </c>
      <c r="DK241" s="747" t="s">
        <v>1137</v>
      </c>
      <c r="DL241" s="747">
        <v>1267100</v>
      </c>
      <c r="DO241" s="747" t="s">
        <v>1137</v>
      </c>
      <c r="DP241" s="747">
        <v>1267100</v>
      </c>
    </row>
    <row r="242" spans="6:120">
      <c r="F242" s="747" t="s">
        <v>1127</v>
      </c>
      <c r="G242" s="747">
        <v>3251300</v>
      </c>
      <c r="K242" s="747" t="s">
        <v>1127</v>
      </c>
      <c r="L242" s="747">
        <v>2592300</v>
      </c>
      <c r="P242" s="747" t="s">
        <v>1127</v>
      </c>
      <c r="Q242" s="747">
        <v>2163300</v>
      </c>
      <c r="U242" s="747" t="s">
        <v>1127</v>
      </c>
      <c r="V242" s="747">
        <v>2049600</v>
      </c>
      <c r="Y242" s="747" t="s">
        <v>1127</v>
      </c>
      <c r="Z242" s="747">
        <v>2049600</v>
      </c>
      <c r="AB242"/>
      <c r="AC242" s="747" t="s">
        <v>1127</v>
      </c>
      <c r="AD242" s="747">
        <v>2049600</v>
      </c>
      <c r="AG242" s="747" t="s">
        <v>1127</v>
      </c>
      <c r="AH242" s="747">
        <v>2049600</v>
      </c>
      <c r="AK242" s="747" t="s">
        <v>1127</v>
      </c>
      <c r="AL242" s="747">
        <v>2049600</v>
      </c>
      <c r="AO242" s="747" t="s">
        <v>1127</v>
      </c>
      <c r="AP242" s="747">
        <v>2049600</v>
      </c>
      <c r="AS242" s="747" t="s">
        <v>1127</v>
      </c>
      <c r="AT242" s="747">
        <v>2049600</v>
      </c>
      <c r="AY242" s="747" t="s">
        <v>1127</v>
      </c>
      <c r="AZ242" s="747">
        <v>2049600</v>
      </c>
      <c r="BD242" s="747" t="s">
        <v>1127</v>
      </c>
      <c r="BE242" s="747">
        <v>2049600</v>
      </c>
      <c r="BI242" s="747" t="s">
        <v>1127</v>
      </c>
      <c r="BJ242" s="747">
        <v>2049600</v>
      </c>
      <c r="BO242" s="747" t="s">
        <v>1127</v>
      </c>
      <c r="BP242" s="747">
        <v>2049600</v>
      </c>
      <c r="BV242" s="747" t="s">
        <v>1127</v>
      </c>
      <c r="BW242" s="747">
        <v>2049600</v>
      </c>
      <c r="CB242" s="747" t="s">
        <v>1127</v>
      </c>
      <c r="CC242" s="747">
        <v>2049600</v>
      </c>
      <c r="CH242" s="747" t="s">
        <v>1127</v>
      </c>
      <c r="CI242" s="747">
        <v>2049600</v>
      </c>
      <c r="CM242" s="747" t="s">
        <v>1127</v>
      </c>
      <c r="CN242" s="747">
        <v>2049600</v>
      </c>
      <c r="CQ242" s="747" t="s">
        <v>1127</v>
      </c>
      <c r="CR242" s="747">
        <v>2049600</v>
      </c>
      <c r="CU242" s="747" t="s">
        <v>1127</v>
      </c>
      <c r="CV242" s="747">
        <v>2049600</v>
      </c>
      <c r="CY242" s="747" t="s">
        <v>1127</v>
      </c>
      <c r="CZ242" s="747">
        <v>2049600</v>
      </c>
      <c r="DC242" s="747" t="s">
        <v>1127</v>
      </c>
      <c r="DD242" s="747">
        <v>2049600</v>
      </c>
      <c r="DG242" s="747" t="s">
        <v>1127</v>
      </c>
      <c r="DH242" s="747">
        <v>2049600</v>
      </c>
      <c r="DK242" s="747" t="s">
        <v>1127</v>
      </c>
      <c r="DL242" s="747">
        <v>2049600</v>
      </c>
      <c r="DO242" s="747" t="s">
        <v>1127</v>
      </c>
      <c r="DP242" s="747">
        <v>2049600</v>
      </c>
    </row>
    <row r="243" spans="6:120">
      <c r="F243" s="747" t="s">
        <v>1138</v>
      </c>
      <c r="G243" s="747">
        <v>326700</v>
      </c>
      <c r="K243" s="747" t="s">
        <v>1138</v>
      </c>
      <c r="L243" s="747">
        <v>338600</v>
      </c>
      <c r="P243" s="747" t="s">
        <v>1138</v>
      </c>
      <c r="Q243" s="747">
        <v>304500</v>
      </c>
      <c r="U243" s="747" t="s">
        <v>1138</v>
      </c>
      <c r="V243" s="747">
        <v>326700</v>
      </c>
      <c r="Y243" s="747" t="s">
        <v>1138</v>
      </c>
      <c r="Z243" s="747">
        <v>326700</v>
      </c>
      <c r="AB243"/>
      <c r="AC243" s="747" t="s">
        <v>1138</v>
      </c>
      <c r="AD243" s="747">
        <v>326700</v>
      </c>
      <c r="AG243" s="747" t="s">
        <v>1138</v>
      </c>
      <c r="AH243" s="747">
        <v>326700</v>
      </c>
      <c r="AK243" s="747" t="s">
        <v>1138</v>
      </c>
      <c r="AL243" s="747">
        <v>326700</v>
      </c>
      <c r="AO243" s="747" t="s">
        <v>1138</v>
      </c>
      <c r="AP243" s="747">
        <v>326700</v>
      </c>
      <c r="AS243" s="747" t="s">
        <v>1138</v>
      </c>
      <c r="AT243" s="747">
        <v>326700</v>
      </c>
      <c r="AY243" s="747" t="s">
        <v>1138</v>
      </c>
      <c r="AZ243" s="747">
        <v>326700</v>
      </c>
      <c r="BD243" s="747" t="s">
        <v>1138</v>
      </c>
      <c r="BE243" s="747">
        <v>326700</v>
      </c>
      <c r="BI243" s="747" t="s">
        <v>1138</v>
      </c>
      <c r="BJ243" s="747">
        <v>326700</v>
      </c>
      <c r="BO243" s="747" t="s">
        <v>1138</v>
      </c>
      <c r="BP243" s="747">
        <v>326700</v>
      </c>
      <c r="BV243" s="747" t="s">
        <v>1138</v>
      </c>
      <c r="BW243" s="747">
        <v>326700</v>
      </c>
      <c r="CB243" s="747" t="s">
        <v>1138</v>
      </c>
      <c r="CC243" s="747">
        <v>326700</v>
      </c>
      <c r="CH243" s="747" t="s">
        <v>1138</v>
      </c>
      <c r="CI243" s="747">
        <v>326700</v>
      </c>
      <c r="CM243" s="747" t="s">
        <v>1138</v>
      </c>
      <c r="CN243" s="747">
        <v>326700</v>
      </c>
      <c r="CQ243" s="747" t="s">
        <v>1138</v>
      </c>
      <c r="CR243" s="747">
        <v>326700</v>
      </c>
      <c r="CU243" s="747" t="s">
        <v>1138</v>
      </c>
      <c r="CV243" s="747">
        <v>326700</v>
      </c>
      <c r="CY243" s="747" t="s">
        <v>1138</v>
      </c>
      <c r="CZ243" s="747">
        <v>326700</v>
      </c>
      <c r="DC243" s="747" t="s">
        <v>1138</v>
      </c>
      <c r="DD243" s="747">
        <v>326700</v>
      </c>
      <c r="DG243" s="747" t="s">
        <v>1138</v>
      </c>
      <c r="DH243" s="747">
        <v>326700</v>
      </c>
      <c r="DK243" s="747" t="s">
        <v>1138</v>
      </c>
      <c r="DL243" s="747">
        <v>326700</v>
      </c>
      <c r="DO243" s="747" t="s">
        <v>1138</v>
      </c>
      <c r="DP243" s="747">
        <v>326700</v>
      </c>
    </row>
    <row r="244" spans="6:120">
      <c r="F244" s="747" t="s">
        <v>928</v>
      </c>
      <c r="G244" s="747">
        <v>2117400</v>
      </c>
      <c r="K244" s="747" t="s">
        <v>928</v>
      </c>
      <c r="L244" s="747">
        <v>1545816.7828161125</v>
      </c>
      <c r="P244" s="747" t="s">
        <v>928</v>
      </c>
      <c r="Q244" s="747">
        <v>1384160.3371847009</v>
      </c>
      <c r="U244" s="747" t="s">
        <v>928</v>
      </c>
      <c r="V244" s="747">
        <v>1288149.8457818395</v>
      </c>
      <c r="Y244" s="747" t="s">
        <v>928</v>
      </c>
      <c r="Z244" s="747">
        <v>1288149.8457818395</v>
      </c>
      <c r="AB244"/>
      <c r="AC244" s="747" t="s">
        <v>928</v>
      </c>
      <c r="AD244" s="747">
        <v>1288149.8457818395</v>
      </c>
      <c r="AG244" s="747" t="s">
        <v>928</v>
      </c>
      <c r="AH244" s="747">
        <v>1288149.8457818395</v>
      </c>
      <c r="AK244" s="747" t="s">
        <v>928</v>
      </c>
      <c r="AL244" s="747">
        <v>1288149.8457818395</v>
      </c>
      <c r="AO244" s="747" t="s">
        <v>928</v>
      </c>
      <c r="AP244" s="747">
        <v>1288149.8457818395</v>
      </c>
      <c r="AS244" s="747" t="s">
        <v>928</v>
      </c>
      <c r="AT244" s="747">
        <v>1288149.8457818395</v>
      </c>
      <c r="AY244" s="747" t="s">
        <v>928</v>
      </c>
      <c r="AZ244" s="747">
        <v>1288149.8457818395</v>
      </c>
      <c r="BD244" s="747" t="s">
        <v>928</v>
      </c>
      <c r="BE244" s="747">
        <v>1288149.8457818395</v>
      </c>
      <c r="BI244" s="747" t="s">
        <v>928</v>
      </c>
      <c r="BJ244" s="747">
        <v>1288149.8457818395</v>
      </c>
      <c r="BO244" s="747" t="s">
        <v>928</v>
      </c>
      <c r="BP244" s="747">
        <v>1288149.8457818395</v>
      </c>
      <c r="BV244" s="747" t="s">
        <v>928</v>
      </c>
      <c r="BW244" s="747">
        <v>1288149.8457818395</v>
      </c>
      <c r="CB244" s="747" t="s">
        <v>928</v>
      </c>
      <c r="CC244" s="747">
        <v>1288149.8457818395</v>
      </c>
      <c r="CH244" s="747" t="s">
        <v>928</v>
      </c>
      <c r="CI244" s="747">
        <v>1288149.8457818395</v>
      </c>
      <c r="CM244" s="747" t="s">
        <v>928</v>
      </c>
      <c r="CN244" s="747">
        <v>1288149.8457818395</v>
      </c>
      <c r="CQ244" s="747" t="s">
        <v>928</v>
      </c>
      <c r="CR244" s="747">
        <v>1288149.8457818395</v>
      </c>
      <c r="CU244" s="747" t="s">
        <v>928</v>
      </c>
      <c r="CV244" s="747">
        <v>1288149.8457818395</v>
      </c>
      <c r="CY244" s="747" t="s">
        <v>928</v>
      </c>
      <c r="CZ244" s="747">
        <v>1288149.8457818395</v>
      </c>
      <c r="DC244" s="747" t="s">
        <v>928</v>
      </c>
      <c r="DD244" s="747">
        <v>1288149.8457818395</v>
      </c>
      <c r="DG244" s="747" t="s">
        <v>928</v>
      </c>
      <c r="DH244" s="747">
        <v>1288149.8457818395</v>
      </c>
      <c r="DK244" s="747" t="s">
        <v>928</v>
      </c>
      <c r="DL244" s="747">
        <v>1288149.8457818395</v>
      </c>
      <c r="DO244" s="747" t="s">
        <v>928</v>
      </c>
      <c r="DP244" s="747">
        <v>1288149.8457818395</v>
      </c>
    </row>
    <row r="245" spans="6:120">
      <c r="F245" s="747" t="s">
        <v>566</v>
      </c>
      <c r="G245" s="747">
        <v>0</v>
      </c>
      <c r="K245" s="747" t="s">
        <v>566</v>
      </c>
      <c r="L245" s="747">
        <v>0</v>
      </c>
      <c r="P245" s="747" t="s">
        <v>566</v>
      </c>
      <c r="Q245" s="747">
        <v>0</v>
      </c>
      <c r="U245" s="747" t="s">
        <v>566</v>
      </c>
      <c r="V245" s="747">
        <v>0</v>
      </c>
      <c r="Y245" s="747" t="s">
        <v>566</v>
      </c>
      <c r="Z245" s="747">
        <v>0</v>
      </c>
      <c r="AB245"/>
      <c r="AC245" s="747" t="s">
        <v>566</v>
      </c>
      <c r="AD245" s="747">
        <v>0</v>
      </c>
      <c r="AG245" s="747" t="s">
        <v>566</v>
      </c>
      <c r="AH245" s="747">
        <v>0</v>
      </c>
      <c r="AK245" s="747" t="s">
        <v>566</v>
      </c>
      <c r="AL245" s="747">
        <v>0</v>
      </c>
      <c r="AO245" s="747" t="s">
        <v>566</v>
      </c>
      <c r="AP245" s="747">
        <v>0</v>
      </c>
      <c r="AS245" s="747" t="s">
        <v>566</v>
      </c>
      <c r="AT245" s="747">
        <v>0</v>
      </c>
      <c r="AY245" s="747" t="s">
        <v>566</v>
      </c>
      <c r="AZ245" s="747">
        <v>0</v>
      </c>
      <c r="BD245" s="747" t="s">
        <v>566</v>
      </c>
      <c r="BE245" s="747">
        <v>0</v>
      </c>
      <c r="BI245" s="747" t="s">
        <v>566</v>
      </c>
      <c r="BJ245" s="747">
        <v>0</v>
      </c>
      <c r="BO245" s="747" t="s">
        <v>566</v>
      </c>
      <c r="BP245" s="747">
        <v>0</v>
      </c>
      <c r="BV245" s="747" t="s">
        <v>566</v>
      </c>
      <c r="BW245" s="747">
        <v>0</v>
      </c>
      <c r="CB245" s="747" t="s">
        <v>566</v>
      </c>
      <c r="CC245" s="747">
        <v>0</v>
      </c>
      <c r="CH245" s="747" t="s">
        <v>566</v>
      </c>
      <c r="CI245" s="747">
        <v>0</v>
      </c>
      <c r="CM245" s="747" t="s">
        <v>566</v>
      </c>
      <c r="CN245" s="747">
        <v>0</v>
      </c>
      <c r="CQ245" s="747" t="s">
        <v>566</v>
      </c>
      <c r="CR245" s="747">
        <v>0</v>
      </c>
      <c r="CU245" s="747" t="s">
        <v>566</v>
      </c>
      <c r="CV245" s="747">
        <v>0</v>
      </c>
      <c r="CY245" s="747" t="s">
        <v>566</v>
      </c>
      <c r="CZ245" s="747">
        <v>0</v>
      </c>
      <c r="DC245" s="747" t="s">
        <v>566</v>
      </c>
      <c r="DD245" s="747">
        <v>0</v>
      </c>
      <c r="DG245" s="747" t="s">
        <v>566</v>
      </c>
      <c r="DH245" s="747">
        <v>0</v>
      </c>
      <c r="DK245" s="747" t="s">
        <v>566</v>
      </c>
      <c r="DL245" s="747">
        <v>0</v>
      </c>
      <c r="DO245" s="747" t="s">
        <v>566</v>
      </c>
      <c r="DP245" s="747">
        <v>0</v>
      </c>
    </row>
    <row r="246" spans="6:120">
      <c r="F246" s="747" t="s">
        <v>1139</v>
      </c>
      <c r="G246" s="747">
        <v>1544300</v>
      </c>
      <c r="K246" s="747" t="s">
        <v>1139</v>
      </c>
      <c r="L246" s="747">
        <v>1373000</v>
      </c>
      <c r="P246" s="747" t="s">
        <v>1139</v>
      </c>
      <c r="Q246" s="747">
        <v>1291200</v>
      </c>
      <c r="U246" s="747" t="s">
        <v>1139</v>
      </c>
      <c r="V246" s="747">
        <v>1269700</v>
      </c>
      <c r="Y246" s="747" t="s">
        <v>1139</v>
      </c>
      <c r="Z246" s="747">
        <v>1269700</v>
      </c>
      <c r="AB246"/>
      <c r="AC246" s="747" t="s">
        <v>1139</v>
      </c>
      <c r="AD246" s="747">
        <v>1269700</v>
      </c>
      <c r="AG246" s="747" t="s">
        <v>1139</v>
      </c>
      <c r="AH246" s="747">
        <v>1269700</v>
      </c>
      <c r="AK246" s="747" t="s">
        <v>1139</v>
      </c>
      <c r="AL246" s="747">
        <v>1269700</v>
      </c>
      <c r="AO246" s="747" t="s">
        <v>1139</v>
      </c>
      <c r="AP246" s="747">
        <v>1269700</v>
      </c>
      <c r="AS246" s="747" t="s">
        <v>1139</v>
      </c>
      <c r="AT246" s="747">
        <v>1269700</v>
      </c>
      <c r="AY246" s="747" t="s">
        <v>1139</v>
      </c>
      <c r="AZ246" s="747">
        <v>1269700</v>
      </c>
      <c r="BD246" s="747" t="s">
        <v>1139</v>
      </c>
      <c r="BE246" s="747">
        <v>1269700</v>
      </c>
      <c r="BI246" s="747" t="s">
        <v>1139</v>
      </c>
      <c r="BJ246" s="747">
        <v>1269700</v>
      </c>
      <c r="BO246" s="747" t="s">
        <v>1139</v>
      </c>
      <c r="BP246" s="747">
        <v>1269700</v>
      </c>
      <c r="BV246" s="747" t="s">
        <v>1139</v>
      </c>
      <c r="BW246" s="747">
        <v>1269700</v>
      </c>
      <c r="CB246" s="747" t="s">
        <v>1139</v>
      </c>
      <c r="CC246" s="747">
        <v>1269700</v>
      </c>
      <c r="CH246" s="747" t="s">
        <v>1139</v>
      </c>
      <c r="CI246" s="747">
        <v>1269700</v>
      </c>
      <c r="CM246" s="747" t="s">
        <v>1139</v>
      </c>
      <c r="CN246" s="747">
        <v>1269700</v>
      </c>
      <c r="CQ246" s="747" t="s">
        <v>1139</v>
      </c>
      <c r="CR246" s="747">
        <v>1269700</v>
      </c>
      <c r="CU246" s="747" t="s">
        <v>1139</v>
      </c>
      <c r="CV246" s="747">
        <v>1269700</v>
      </c>
      <c r="CY246" s="747" t="s">
        <v>1139</v>
      </c>
      <c r="CZ246" s="747">
        <v>1269700</v>
      </c>
      <c r="DC246" s="747" t="s">
        <v>1139</v>
      </c>
      <c r="DD246" s="747">
        <v>1269700</v>
      </c>
      <c r="DG246" s="747" t="s">
        <v>1139</v>
      </c>
      <c r="DH246" s="747">
        <v>1269700</v>
      </c>
      <c r="DK246" s="747" t="s">
        <v>1139</v>
      </c>
      <c r="DL246" s="747">
        <v>1269700</v>
      </c>
      <c r="DO246" s="747" t="s">
        <v>1139</v>
      </c>
      <c r="DP246" s="747">
        <v>1269700</v>
      </c>
    </row>
    <row r="247" spans="6:120">
      <c r="F247" s="747"/>
      <c r="G247" s="747"/>
      <c r="K247" s="747"/>
      <c r="L247" s="747"/>
      <c r="P247" s="747"/>
      <c r="Q247" s="747"/>
      <c r="U247" s="747"/>
      <c r="V247" s="747"/>
      <c r="Y247" s="747"/>
      <c r="Z247" s="747"/>
      <c r="AB247"/>
      <c r="AC247" s="747"/>
      <c r="AD247" s="747"/>
      <c r="AG247" s="747"/>
      <c r="AH247" s="747"/>
      <c r="AK247" s="747"/>
      <c r="AL247" s="747"/>
      <c r="AO247" s="747"/>
      <c r="AP247" s="747"/>
      <c r="AS247" s="747"/>
      <c r="AT247" s="747"/>
      <c r="AY247" s="747"/>
      <c r="AZ247" s="747"/>
      <c r="BD247" s="747"/>
      <c r="BE247" s="747"/>
      <c r="BI247" s="747"/>
      <c r="BJ247" s="747"/>
      <c r="BO247" s="747"/>
      <c r="BP247" s="747"/>
      <c r="BV247" s="747"/>
      <c r="BW247" s="747"/>
      <c r="CB247" s="747"/>
      <c r="CC247" s="747"/>
      <c r="CH247" s="747"/>
      <c r="CI247" s="747"/>
      <c r="CM247" s="747"/>
      <c r="CN247" s="747"/>
      <c r="CQ247" s="747"/>
      <c r="CR247" s="747"/>
      <c r="CU247" s="747"/>
      <c r="CV247" s="747"/>
      <c r="CY247" s="747"/>
      <c r="CZ247" s="747"/>
      <c r="DC247" s="747"/>
      <c r="DD247" s="747"/>
      <c r="DG247" s="747"/>
      <c r="DH247" s="747"/>
      <c r="DK247" s="747"/>
      <c r="DL247" s="747"/>
      <c r="DO247" s="747"/>
      <c r="DP247" s="747"/>
    </row>
    <row r="248" spans="6:120">
      <c r="F248" s="747"/>
      <c r="G248" s="747"/>
      <c r="K248" s="747"/>
      <c r="L248" s="747"/>
      <c r="P248" s="747"/>
      <c r="Q248" s="747"/>
      <c r="U248" s="747"/>
      <c r="V248" s="747"/>
      <c r="Y248" s="747"/>
      <c r="Z248" s="747"/>
      <c r="AB248"/>
      <c r="AC248" s="747"/>
      <c r="AD248" s="747"/>
      <c r="AG248" s="747"/>
      <c r="AH248" s="747"/>
      <c r="AK248" s="747"/>
      <c r="AL248" s="747"/>
      <c r="AO248" s="747"/>
      <c r="AP248" s="747"/>
      <c r="AS248" s="747"/>
      <c r="AT248" s="747"/>
      <c r="AY248" s="747"/>
      <c r="AZ248" s="747"/>
      <c r="BD248" s="747"/>
      <c r="BE248" s="747"/>
      <c r="BI248" s="747"/>
      <c r="BJ248" s="747"/>
      <c r="BO248" s="747"/>
      <c r="BP248" s="747"/>
      <c r="BV248" s="747"/>
      <c r="BW248" s="747"/>
      <c r="CB248" s="747"/>
      <c r="CC248" s="747"/>
      <c r="CH248" s="747"/>
      <c r="CI248" s="747"/>
      <c r="CM248" s="747"/>
      <c r="CN248" s="747"/>
      <c r="CQ248" s="747"/>
      <c r="CR248" s="747"/>
      <c r="CU248" s="747"/>
      <c r="CV248" s="747"/>
      <c r="CY248" s="747"/>
      <c r="CZ248" s="747"/>
      <c r="DC248" s="747"/>
      <c r="DD248" s="747"/>
      <c r="DG248" s="747"/>
      <c r="DH248" s="747"/>
      <c r="DK248" s="747"/>
      <c r="DL248" s="747"/>
      <c r="DO248" s="747"/>
      <c r="DP248" s="747"/>
    </row>
    <row r="249" spans="6:120">
      <c r="F249" s="747"/>
      <c r="G249" s="747"/>
      <c r="K249" s="747"/>
      <c r="L249" s="747"/>
      <c r="P249" s="747"/>
      <c r="Q249" s="747"/>
      <c r="U249" s="747"/>
      <c r="V249" s="747"/>
      <c r="Y249" s="747"/>
      <c r="Z249" s="747"/>
      <c r="AB249"/>
      <c r="AC249" s="747"/>
      <c r="AD249" s="747"/>
      <c r="AG249" s="747"/>
      <c r="AH249" s="747"/>
      <c r="AK249" s="747"/>
      <c r="AL249" s="747"/>
      <c r="AO249" s="747"/>
      <c r="AP249" s="747"/>
      <c r="AS249" s="747"/>
      <c r="AT249" s="747"/>
      <c r="AY249" s="747"/>
      <c r="AZ249" s="747"/>
      <c r="BD249" s="747"/>
      <c r="BE249" s="747"/>
      <c r="BI249" s="747"/>
      <c r="BJ249" s="747"/>
      <c r="BO249" s="747"/>
      <c r="BP249" s="747"/>
      <c r="BV249" s="747"/>
      <c r="BW249" s="747"/>
      <c r="CB249" s="747"/>
      <c r="CC249" s="747"/>
      <c r="CH249" s="747"/>
      <c r="CI249" s="747"/>
      <c r="CM249" s="747"/>
      <c r="CN249" s="747"/>
      <c r="CQ249" s="747"/>
      <c r="CR249" s="747"/>
      <c r="CU249" s="747"/>
      <c r="CV249" s="747"/>
      <c r="CY249" s="747"/>
      <c r="CZ249" s="747"/>
      <c r="DC249" s="747"/>
      <c r="DD249" s="747"/>
      <c r="DG249" s="747"/>
      <c r="DH249" s="747"/>
      <c r="DK249" s="747"/>
      <c r="DL249" s="747"/>
      <c r="DO249" s="747"/>
      <c r="DP249" s="747"/>
    </row>
    <row r="250" spans="6:120">
      <c r="F250" s="747"/>
      <c r="G250" s="747"/>
      <c r="K250" s="747"/>
      <c r="L250" s="747"/>
      <c r="P250" s="747"/>
      <c r="Q250" s="747"/>
      <c r="U250" s="747"/>
      <c r="V250" s="747"/>
      <c r="Y250" s="747"/>
      <c r="Z250" s="747"/>
      <c r="AB250"/>
      <c r="AC250" s="747"/>
      <c r="AD250" s="747"/>
      <c r="AG250" s="747"/>
      <c r="AH250" s="747"/>
      <c r="AK250" s="747"/>
      <c r="AL250" s="747"/>
      <c r="AO250" s="747"/>
      <c r="AP250" s="747"/>
      <c r="AS250" s="747"/>
      <c r="AT250" s="747"/>
      <c r="AY250" s="747"/>
      <c r="AZ250" s="747"/>
      <c r="BD250" s="747"/>
      <c r="BE250" s="747"/>
      <c r="BI250" s="747"/>
      <c r="BJ250" s="747"/>
      <c r="BO250" s="747"/>
      <c r="BP250" s="747"/>
      <c r="BV250" s="747"/>
      <c r="BW250" s="747"/>
      <c r="CB250" s="747"/>
      <c r="CC250" s="747"/>
      <c r="CH250" s="747"/>
      <c r="CI250" s="747"/>
      <c r="CM250" s="747"/>
      <c r="CN250" s="747"/>
      <c r="CQ250" s="747"/>
      <c r="CR250" s="747"/>
      <c r="CU250" s="747"/>
      <c r="CV250" s="747"/>
      <c r="CY250" s="747"/>
      <c r="CZ250" s="747"/>
      <c r="DC250" s="747"/>
      <c r="DD250" s="747"/>
      <c r="DG250" s="747"/>
      <c r="DH250" s="747"/>
      <c r="DK250" s="747"/>
      <c r="DL250" s="747"/>
      <c r="DO250" s="747"/>
      <c r="DP250" s="747"/>
    </row>
    <row r="251" spans="6:120">
      <c r="F251" s="312" t="s">
        <v>865</v>
      </c>
      <c r="G251" s="312">
        <f>SUM(G199:G250)</f>
        <v>1053018682.7874908</v>
      </c>
      <c r="K251" s="312" t="s">
        <v>865</v>
      </c>
      <c r="L251" s="312">
        <f>SUM(L199:L250)</f>
        <v>871839155.29589033</v>
      </c>
      <c r="P251" s="312" t="s">
        <v>865</v>
      </c>
      <c r="Q251" s="312">
        <f>SUM(Q199:Q250)</f>
        <v>751848949.37045264</v>
      </c>
      <c r="U251" s="312" t="s">
        <v>865</v>
      </c>
      <c r="V251" s="312">
        <f>SUM(V199:V250)</f>
        <v>696254197.71117735</v>
      </c>
      <c r="Y251" s="312" t="s">
        <v>865</v>
      </c>
      <c r="Z251" s="312">
        <f>SUM(Z199:Z250)</f>
        <v>696254197.71117735</v>
      </c>
      <c r="AB251"/>
      <c r="AC251" s="312" t="s">
        <v>865</v>
      </c>
      <c r="AD251" s="312">
        <f>SUM(AD199:AD250)</f>
        <v>696254197.71117735</v>
      </c>
      <c r="AG251" s="312" t="s">
        <v>865</v>
      </c>
      <c r="AH251" s="312">
        <f>SUM(AH199:AH250)</f>
        <v>696254197.71117735</v>
      </c>
      <c r="AK251" s="312" t="s">
        <v>865</v>
      </c>
      <c r="AL251" s="312">
        <f>SUM(AL199:AL250)</f>
        <v>696254197.71117735</v>
      </c>
      <c r="AO251" s="312" t="s">
        <v>865</v>
      </c>
      <c r="AP251" s="312">
        <f>SUM(AP199:AP250)</f>
        <v>696254197.71117735</v>
      </c>
      <c r="AS251" s="312" t="s">
        <v>865</v>
      </c>
      <c r="AT251" s="312">
        <f>SUM(AT199:AT250)</f>
        <v>696254197.71117735</v>
      </c>
      <c r="AY251" s="312" t="s">
        <v>865</v>
      </c>
      <c r="AZ251" s="312">
        <f>SUM(AZ199:AZ250)</f>
        <v>696254197.71117735</v>
      </c>
      <c r="BD251" s="312" t="s">
        <v>865</v>
      </c>
      <c r="BE251" s="312">
        <f>SUM(BE199:BE250)</f>
        <v>696254197.71117735</v>
      </c>
      <c r="BI251" s="312" t="s">
        <v>865</v>
      </c>
      <c r="BJ251" s="312">
        <f>SUM(BJ199:BJ250)</f>
        <v>696254197.71117735</v>
      </c>
      <c r="BO251" s="312" t="s">
        <v>865</v>
      </c>
      <c r="BP251" s="312">
        <f>SUM(BP199:BP250)</f>
        <v>696254197.71117735</v>
      </c>
      <c r="BV251" s="312" t="s">
        <v>865</v>
      </c>
      <c r="BW251" s="312">
        <f>SUM(BW199:BW250)</f>
        <v>696254197.71117735</v>
      </c>
      <c r="CB251" s="312" t="s">
        <v>865</v>
      </c>
      <c r="CC251" s="312">
        <f>SUM(CC199:CC250)</f>
        <v>696254197.71117735</v>
      </c>
      <c r="CH251" s="312" t="s">
        <v>865</v>
      </c>
      <c r="CI251" s="312">
        <f>SUM(CI199:CI250)</f>
        <v>696254197.71117735</v>
      </c>
      <c r="CM251" s="312" t="s">
        <v>865</v>
      </c>
      <c r="CN251" s="312">
        <f>SUM(CN199:CN250)</f>
        <v>696254197.71117735</v>
      </c>
      <c r="CQ251" s="312" t="s">
        <v>865</v>
      </c>
      <c r="CR251" s="312">
        <f>SUM(CR199:CR250)</f>
        <v>696254197.71117735</v>
      </c>
      <c r="CU251" s="312" t="s">
        <v>865</v>
      </c>
      <c r="CV251" s="312">
        <f>SUM(CV199:CV250)</f>
        <v>696254197.71117735</v>
      </c>
      <c r="CY251" s="312" t="s">
        <v>865</v>
      </c>
      <c r="CZ251" s="312">
        <f>SUM(CZ199:CZ250)</f>
        <v>696254197.71117735</v>
      </c>
      <c r="DC251" s="312" t="s">
        <v>865</v>
      </c>
      <c r="DD251" s="312">
        <f>SUM(DD199:DD250)</f>
        <v>696254197.71117735</v>
      </c>
      <c r="DG251" s="312" t="s">
        <v>865</v>
      </c>
      <c r="DH251" s="312">
        <f>SUM(DH199:DH250)</f>
        <v>696254197.71117735</v>
      </c>
      <c r="DK251" s="312" t="s">
        <v>865</v>
      </c>
      <c r="DL251" s="312">
        <f>SUM(DL199:DL250)</f>
        <v>696254197.71117735</v>
      </c>
      <c r="DO251" s="312" t="s">
        <v>865</v>
      </c>
      <c r="DP251" s="312">
        <f>SUM(DP199:DP250)</f>
        <v>696254197.71117735</v>
      </c>
    </row>
  </sheetData>
  <phoneticPr fontId="8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182B-955B-467A-B054-315040569290}">
  <dimension ref="B2:AT221"/>
  <sheetViews>
    <sheetView topLeftCell="A42" zoomScale="55" zoomScaleNormal="55" workbookViewId="0">
      <selection activeCell="M87" sqref="M87:P89"/>
    </sheetView>
  </sheetViews>
  <sheetFormatPr defaultRowHeight="16.5"/>
  <cols>
    <col min="2" max="2" width="23.5" bestFit="1" customWidth="1"/>
    <col min="3" max="3" width="13.5" customWidth="1"/>
    <col min="4" max="4" width="14.5" style="879" hidden="1" customWidth="1"/>
    <col min="5" max="8" width="14.5" customWidth="1"/>
    <col min="9" max="9" width="20.875" bestFit="1" customWidth="1"/>
    <col min="10" max="13" width="14.5" customWidth="1"/>
    <col min="14" max="14" width="18.75" bestFit="1" customWidth="1"/>
    <col min="15" max="18" width="14.5" style="548" customWidth="1"/>
    <col min="19" max="19" width="13.125" bestFit="1" customWidth="1"/>
    <col min="20" max="20" width="13.25" customWidth="1"/>
    <col min="21" max="23" width="13.875" bestFit="1" customWidth="1"/>
    <col min="25" max="25" width="13.125" bestFit="1" customWidth="1"/>
    <col min="27" max="27" width="23.5" customWidth="1"/>
    <col min="29" max="31" width="13" customWidth="1"/>
    <col min="32" max="33" width="13.125" bestFit="1" customWidth="1"/>
    <col min="35" max="35" width="13.125" bestFit="1" customWidth="1"/>
    <col min="38" max="38" width="22.75" customWidth="1"/>
    <col min="40" max="42" width="11.875" customWidth="1"/>
    <col min="46" max="46" width="13.125" bestFit="1" customWidth="1"/>
  </cols>
  <sheetData>
    <row r="2" spans="2:35" s="336" customFormat="1" ht="20.25">
      <c r="B2" s="335" t="s">
        <v>809</v>
      </c>
      <c r="D2" s="879"/>
      <c r="O2" s="614"/>
      <c r="P2" s="614"/>
      <c r="Q2" s="614"/>
      <c r="R2" s="614"/>
      <c r="AD2" s="336" t="s">
        <v>115</v>
      </c>
      <c r="AE2" s="336" t="s">
        <v>116</v>
      </c>
      <c r="AF2" s="336">
        <v>7486.7566428719201</v>
      </c>
      <c r="AG2" s="336">
        <v>4538.49738359817</v>
      </c>
      <c r="AH2" s="336">
        <v>838.58919130049696</v>
      </c>
      <c r="AI2" s="336">
        <v>2924.3022056100199</v>
      </c>
    </row>
    <row r="3" spans="2:35">
      <c r="B3" s="50"/>
      <c r="C3" s="50"/>
      <c r="D3" s="790" t="s">
        <v>773</v>
      </c>
      <c r="E3" s="315" t="s">
        <v>1147</v>
      </c>
      <c r="F3" s="315" t="s">
        <v>1148</v>
      </c>
      <c r="G3" s="315" t="s">
        <v>1149</v>
      </c>
      <c r="H3" s="315" t="s">
        <v>1150</v>
      </c>
      <c r="I3" s="841" t="s">
        <v>1164</v>
      </c>
      <c r="J3" s="842" t="s">
        <v>1166</v>
      </c>
      <c r="K3" s="842" t="s">
        <v>1167</v>
      </c>
      <c r="L3" s="842" t="s">
        <v>1168</v>
      </c>
      <c r="M3" s="843" t="s">
        <v>1172</v>
      </c>
      <c r="N3" s="843" t="s">
        <v>1174</v>
      </c>
      <c r="O3" s="844" t="s">
        <v>1176</v>
      </c>
      <c r="P3" s="844" t="s">
        <v>1178</v>
      </c>
      <c r="Q3" s="845" t="s">
        <v>1180</v>
      </c>
      <c r="R3" s="845" t="s">
        <v>1182</v>
      </c>
      <c r="S3" s="845" t="s">
        <v>1184</v>
      </c>
      <c r="T3" s="845" t="s">
        <v>1186</v>
      </c>
      <c r="AD3" t="s">
        <v>936</v>
      </c>
      <c r="AE3" t="s">
        <v>116</v>
      </c>
      <c r="AF3">
        <v>0</v>
      </c>
      <c r="AG3" s="44">
        <v>4.0209908096764102E-8</v>
      </c>
      <c r="AH3" s="44">
        <v>1.9696859385108699E-9</v>
      </c>
      <c r="AI3">
        <v>0</v>
      </c>
    </row>
    <row r="4" spans="2:35">
      <c r="B4" s="316" t="s">
        <v>772</v>
      </c>
      <c r="C4" s="50"/>
      <c r="D4" s="880">
        <v>4.4400000000000004</v>
      </c>
      <c r="E4" s="622">
        <v>4.5599999999999996</v>
      </c>
      <c r="F4" s="622">
        <v>3.44</v>
      </c>
      <c r="G4" s="622">
        <v>2.33</v>
      </c>
      <c r="H4" s="622">
        <v>1.22</v>
      </c>
      <c r="I4" s="622">
        <v>4.5599999999999996</v>
      </c>
      <c r="J4" s="622">
        <v>3.44</v>
      </c>
      <c r="K4" s="622">
        <v>2.33</v>
      </c>
      <c r="L4" s="622">
        <v>1.22</v>
      </c>
      <c r="M4" s="622">
        <v>4.5599999999999996</v>
      </c>
      <c r="N4" s="622">
        <v>3.44</v>
      </c>
      <c r="O4" s="622">
        <v>2.33</v>
      </c>
      <c r="P4" s="622">
        <v>1.22</v>
      </c>
      <c r="Q4" s="622">
        <v>4.5599999999999996</v>
      </c>
      <c r="R4" s="622">
        <v>3.44</v>
      </c>
      <c r="S4" s="847">
        <v>2.33</v>
      </c>
      <c r="T4" s="847">
        <v>1.22</v>
      </c>
      <c r="AD4" t="s">
        <v>937</v>
      </c>
      <c r="AE4" t="s">
        <v>116</v>
      </c>
      <c r="AF4">
        <v>0</v>
      </c>
      <c r="AG4">
        <v>1.75352646994727E-2</v>
      </c>
      <c r="AH4">
        <v>1.95507859782674</v>
      </c>
      <c r="AI4">
        <v>0</v>
      </c>
    </row>
    <row r="5" spans="2:35">
      <c r="B5" s="316" t="s">
        <v>771</v>
      </c>
      <c r="C5" s="50"/>
      <c r="D5" s="804"/>
      <c r="E5" s="620"/>
      <c r="F5" s="620"/>
      <c r="G5" s="620"/>
      <c r="H5" s="620"/>
      <c r="I5" s="620"/>
      <c r="J5" s="710"/>
      <c r="K5" s="710"/>
      <c r="L5" s="710"/>
      <c r="M5" s="710"/>
      <c r="N5" s="710"/>
      <c r="O5" s="615"/>
      <c r="P5" s="615"/>
      <c r="Q5" s="615"/>
      <c r="R5" s="615"/>
      <c r="S5" s="848"/>
      <c r="T5" s="848"/>
      <c r="AD5" t="s">
        <v>168</v>
      </c>
      <c r="AE5" t="s">
        <v>116</v>
      </c>
      <c r="AF5">
        <v>0</v>
      </c>
      <c r="AG5">
        <v>8.5113353097926898E-3</v>
      </c>
      <c r="AH5">
        <v>766.01950088339697</v>
      </c>
      <c r="AI5" s="44">
        <v>9.4341908772460506E-5</v>
      </c>
    </row>
    <row r="6" spans="2:35">
      <c r="B6" s="317" t="s">
        <v>851</v>
      </c>
      <c r="C6" s="50" t="s">
        <v>652</v>
      </c>
      <c r="D6" s="881">
        <v>211552.667568</v>
      </c>
      <c r="E6" s="621">
        <v>211552.667568</v>
      </c>
      <c r="F6" s="621">
        <v>211552.667568</v>
      </c>
      <c r="G6" s="621">
        <v>211552.667568</v>
      </c>
      <c r="H6" s="621">
        <v>211552.667568</v>
      </c>
      <c r="I6" s="621">
        <v>211552.667568</v>
      </c>
      <c r="J6" s="711">
        <f>E6</f>
        <v>211552.667568</v>
      </c>
      <c r="K6" s="711">
        <f t="shared" ref="K6:N6" si="0">F6</f>
        <v>211552.667568</v>
      </c>
      <c r="L6" s="711">
        <f t="shared" si="0"/>
        <v>211552.667568</v>
      </c>
      <c r="M6" s="711">
        <f t="shared" si="0"/>
        <v>211552.667568</v>
      </c>
      <c r="N6" s="711">
        <f t="shared" si="0"/>
        <v>211552.667568</v>
      </c>
      <c r="O6" s="616">
        <v>211552.667568</v>
      </c>
      <c r="P6" s="616">
        <v>211552.667568</v>
      </c>
      <c r="Q6" s="616">
        <v>211552.667568</v>
      </c>
      <c r="R6" s="616">
        <v>211552.667568</v>
      </c>
      <c r="S6" s="849">
        <v>211552.667568</v>
      </c>
      <c r="T6" s="849">
        <v>211552.667568</v>
      </c>
      <c r="AD6" t="s">
        <v>938</v>
      </c>
      <c r="AE6" t="s">
        <v>116</v>
      </c>
      <c r="AF6">
        <v>0</v>
      </c>
      <c r="AG6">
        <v>0</v>
      </c>
      <c r="AH6">
        <v>0</v>
      </c>
      <c r="AI6">
        <v>0</v>
      </c>
    </row>
    <row r="7" spans="2:35">
      <c r="B7" s="317" t="s">
        <v>852</v>
      </c>
      <c r="C7" s="50" t="s">
        <v>652</v>
      </c>
      <c r="D7" s="881" t="s">
        <v>853</v>
      </c>
      <c r="E7" s="621">
        <v>217317.12001518099</v>
      </c>
      <c r="F7" s="621">
        <v>167248.75024137201</v>
      </c>
      <c r="G7" s="621">
        <v>138536.50701673</v>
      </c>
      <c r="H7" s="621">
        <v>120218.458741761</v>
      </c>
      <c r="I7" s="621">
        <v>217317.12001518099</v>
      </c>
      <c r="J7" s="621">
        <v>167248.75024137201</v>
      </c>
      <c r="K7" s="621">
        <v>138536.50701673</v>
      </c>
      <c r="L7" s="621">
        <v>120218.458741761</v>
      </c>
      <c r="M7" s="711"/>
      <c r="N7" s="711"/>
      <c r="O7" s="616"/>
      <c r="P7" s="616"/>
      <c r="Q7" s="616"/>
      <c r="R7" s="616"/>
      <c r="S7" s="848"/>
      <c r="T7" s="848"/>
      <c r="AD7" t="s">
        <v>939</v>
      </c>
      <c r="AE7" t="s">
        <v>116</v>
      </c>
      <c r="AF7">
        <v>0</v>
      </c>
      <c r="AG7">
        <v>0</v>
      </c>
      <c r="AH7">
        <v>0</v>
      </c>
      <c r="AI7">
        <v>0</v>
      </c>
    </row>
    <row r="8" spans="2:35">
      <c r="B8" s="317"/>
      <c r="C8" s="50"/>
      <c r="D8" s="881" t="s">
        <v>853</v>
      </c>
      <c r="E8" s="621"/>
      <c r="F8" s="621"/>
      <c r="G8" s="621"/>
      <c r="H8" s="621"/>
      <c r="I8" s="621"/>
      <c r="J8" s="711"/>
      <c r="K8" s="711"/>
      <c r="L8" s="711"/>
      <c r="M8" s="711"/>
      <c r="N8" s="711"/>
      <c r="O8" s="616"/>
      <c r="P8" s="616"/>
      <c r="Q8" s="616"/>
      <c r="R8" s="616"/>
      <c r="S8" s="848"/>
      <c r="T8" s="848"/>
      <c r="AD8" t="s">
        <v>940</v>
      </c>
      <c r="AE8" t="s">
        <v>116</v>
      </c>
      <c r="AF8">
        <v>0</v>
      </c>
      <c r="AG8">
        <v>0</v>
      </c>
      <c r="AH8">
        <v>0</v>
      </c>
      <c r="AI8">
        <v>0</v>
      </c>
    </row>
    <row r="9" spans="2:35">
      <c r="B9" s="318" t="s">
        <v>662</v>
      </c>
      <c r="C9" s="50"/>
      <c r="D9" s="881"/>
      <c r="E9" s="621"/>
      <c r="F9" s="621"/>
      <c r="G9" s="621"/>
      <c r="H9" s="621"/>
      <c r="I9" s="621"/>
      <c r="J9" s="711"/>
      <c r="K9" s="711"/>
      <c r="L9" s="711"/>
      <c r="M9" s="711"/>
      <c r="N9" s="711"/>
      <c r="O9" s="616"/>
      <c r="P9" s="616"/>
      <c r="Q9" s="616"/>
      <c r="R9" s="616"/>
      <c r="S9" s="848"/>
      <c r="T9" s="848"/>
      <c r="AD9" t="s">
        <v>941</v>
      </c>
      <c r="AE9" t="s">
        <v>116</v>
      </c>
      <c r="AF9">
        <v>0</v>
      </c>
      <c r="AG9">
        <v>0</v>
      </c>
      <c r="AH9">
        <v>0</v>
      </c>
      <c r="AI9">
        <v>0</v>
      </c>
    </row>
    <row r="10" spans="2:35">
      <c r="B10" s="317" t="s">
        <v>782</v>
      </c>
      <c r="C10" s="50" t="s">
        <v>783</v>
      </c>
      <c r="D10" s="881"/>
      <c r="E10" s="606">
        <f>'2-1. Aspen Utility'!D3</f>
        <v>276952</v>
      </c>
      <c r="F10" s="606">
        <f>'2-1. Aspen Utility'!E3</f>
        <v>194306.1</v>
      </c>
      <c r="G10" s="606">
        <f>'2-1. Aspen Utility'!F3</f>
        <v>61413.7</v>
      </c>
      <c r="H10" s="606">
        <f>'2-1. Aspen Utility'!G3</f>
        <v>129859.29999999999</v>
      </c>
      <c r="I10" s="606">
        <f>'2-1. Aspen Utility'!H3</f>
        <v>438472.11</v>
      </c>
      <c r="J10" s="606">
        <f>'2-1. Aspen Utility'!I3</f>
        <v>339963.64999999997</v>
      </c>
      <c r="K10" s="606">
        <f>'2-1. Aspen Utility'!J3</f>
        <v>180775.03999999998</v>
      </c>
      <c r="L10" s="606">
        <f>'2-1. Aspen Utility'!K3</f>
        <v>236478.38</v>
      </c>
      <c r="M10" s="606">
        <f>'2-1. Aspen Utility'!L3</f>
        <v>276952</v>
      </c>
      <c r="N10" s="606">
        <f>'2-1. Aspen Utility'!M3</f>
        <v>194306.1</v>
      </c>
      <c r="O10" s="606">
        <f>'2-1. Aspen Utility'!N3</f>
        <v>61413.7</v>
      </c>
      <c r="P10" s="606">
        <f>'2-1. Aspen Utility'!O3</f>
        <v>129859.29999999999</v>
      </c>
      <c r="Q10" s="606">
        <f>'2-1. Aspen Utility'!P3</f>
        <v>279960.02049999998</v>
      </c>
      <c r="R10" s="606">
        <f>'2-1. Aspen Utility'!Q3</f>
        <v>201731.47756</v>
      </c>
      <c r="S10" s="849">
        <f>'2-1. Aspen Utility'!R3</f>
        <v>69354.823399999994</v>
      </c>
      <c r="T10" s="849">
        <f>'2-1. Aspen Utility'!S3</f>
        <v>142032.07119999998</v>
      </c>
      <c r="AD10" t="s">
        <v>942</v>
      </c>
      <c r="AE10" t="s">
        <v>116</v>
      </c>
      <c r="AF10">
        <v>0</v>
      </c>
      <c r="AG10">
        <v>0</v>
      </c>
      <c r="AH10">
        <v>0</v>
      </c>
      <c r="AI10">
        <v>0</v>
      </c>
    </row>
    <row r="11" spans="2:35">
      <c r="B11" s="317" t="s">
        <v>183</v>
      </c>
      <c r="C11" s="50" t="s">
        <v>657</v>
      </c>
      <c r="D11" s="881"/>
      <c r="E11" s="606">
        <f>'2-1. Aspen Utility'!D4</f>
        <v>969998</v>
      </c>
      <c r="F11" s="606">
        <f>'2-1. Aspen Utility'!E4</f>
        <v>705579</v>
      </c>
      <c r="G11" s="606">
        <f>'2-1. Aspen Utility'!F4</f>
        <v>511184</v>
      </c>
      <c r="H11" s="606">
        <f>'2-1. Aspen Utility'!G4</f>
        <v>386920</v>
      </c>
      <c r="I11" s="606">
        <f>'2-1. Aspen Utility'!H4</f>
        <v>1029961.338</v>
      </c>
      <c r="J11" s="606">
        <f>'2-1. Aspen Utility'!I4</f>
        <v>759523.39300000004</v>
      </c>
      <c r="K11" s="606">
        <f>'2-1. Aspen Utility'!J4</f>
        <v>557152.34200000006</v>
      </c>
      <c r="L11" s="606">
        <f>'2-1. Aspen Utility'!K4</f>
        <v>429367.08600000001</v>
      </c>
      <c r="M11" s="606">
        <f>'2-1. Aspen Utility'!L4</f>
        <v>3178217.1780821919</v>
      </c>
      <c r="N11" s="606">
        <f>'2-1. Aspen Utility'!M4</f>
        <v>2422473.9771689498</v>
      </c>
      <c r="O11" s="606">
        <f>'2-1. Aspen Utility'!N4</f>
        <v>1918489.9360730592</v>
      </c>
      <c r="P11" s="606">
        <f>'2-1. Aspen Utility'!O4</f>
        <v>1607924.5662100455</v>
      </c>
      <c r="Q11" s="606">
        <f>'2-1. Aspen Utility'!P4</f>
        <v>3179994.4716521921</v>
      </c>
      <c r="R11" s="606">
        <f>'2-1. Aspen Utility'!Q4</f>
        <v>2426821.7534689498</v>
      </c>
      <c r="S11" s="849">
        <f>'2-1. Aspen Utility'!R4</f>
        <v>1923163.3984730593</v>
      </c>
      <c r="T11" s="849">
        <f>'2-1. Aspen Utility'!S4</f>
        <v>1615304.6223100454</v>
      </c>
      <c r="AD11" t="s">
        <v>943</v>
      </c>
      <c r="AE11" t="s">
        <v>116</v>
      </c>
      <c r="AF11">
        <v>0</v>
      </c>
      <c r="AG11">
        <v>0</v>
      </c>
      <c r="AH11">
        <v>0</v>
      </c>
      <c r="AI11">
        <v>0</v>
      </c>
    </row>
    <row r="12" spans="2:35">
      <c r="B12" s="317" t="s">
        <v>921</v>
      </c>
      <c r="C12" s="50" t="s">
        <v>657</v>
      </c>
      <c r="D12" s="881"/>
      <c r="E12" s="606">
        <f>'2-1. Aspen Utility'!D5</f>
        <v>0</v>
      </c>
      <c r="F12" s="606">
        <f>'2-1. Aspen Utility'!E5</f>
        <v>0</v>
      </c>
      <c r="G12" s="606">
        <f>'2-1. Aspen Utility'!F5</f>
        <v>0</v>
      </c>
      <c r="H12" s="606">
        <f>'2-1. Aspen Utility'!G5</f>
        <v>0</v>
      </c>
      <c r="I12" s="606">
        <f>'2-1. Aspen Utility'!H5</f>
        <v>0</v>
      </c>
      <c r="J12" s="606">
        <f>'2-1. Aspen Utility'!I5</f>
        <v>0</v>
      </c>
      <c r="K12" s="606">
        <f>'2-1. Aspen Utility'!J5</f>
        <v>0</v>
      </c>
      <c r="L12" s="606">
        <f>'2-1. Aspen Utility'!K5</f>
        <v>0</v>
      </c>
      <c r="M12" s="606">
        <f>'2-1. Aspen Utility'!L5</f>
        <v>0</v>
      </c>
      <c r="N12" s="606">
        <f>'2-1. Aspen Utility'!M5</f>
        <v>0</v>
      </c>
      <c r="O12" s="606">
        <f>'2-1. Aspen Utility'!N5</f>
        <v>0</v>
      </c>
      <c r="P12" s="606">
        <f>'2-1. Aspen Utility'!O5</f>
        <v>0</v>
      </c>
      <c r="Q12" s="606">
        <f>'2-1. Aspen Utility'!P5</f>
        <v>0</v>
      </c>
      <c r="R12" s="606">
        <f>'2-1. Aspen Utility'!Q5</f>
        <v>0</v>
      </c>
      <c r="S12" s="849">
        <f>'2-1. Aspen Utility'!R5</f>
        <v>0</v>
      </c>
      <c r="T12" s="849">
        <f>'2-1. Aspen Utility'!S5</f>
        <v>0</v>
      </c>
    </row>
    <row r="13" spans="2:35">
      <c r="B13" s="317" t="s">
        <v>1068</v>
      </c>
      <c r="C13" s="50" t="s">
        <v>657</v>
      </c>
      <c r="D13" s="881"/>
      <c r="E13" s="606">
        <f>'2-1. Aspen Utility'!D6</f>
        <v>0</v>
      </c>
      <c r="F13" s="606">
        <f>'2-1. Aspen Utility'!E6</f>
        <v>0</v>
      </c>
      <c r="G13" s="606">
        <f>'2-1. Aspen Utility'!F6</f>
        <v>0</v>
      </c>
      <c r="H13" s="606">
        <f>'2-1. Aspen Utility'!G6</f>
        <v>0</v>
      </c>
      <c r="I13" s="606">
        <f>'2-1. Aspen Utility'!H6</f>
        <v>0</v>
      </c>
      <c r="J13" s="606">
        <f>'2-1. Aspen Utility'!I6</f>
        <v>0</v>
      </c>
      <c r="K13" s="606">
        <f>'2-1. Aspen Utility'!J6</f>
        <v>0</v>
      </c>
      <c r="L13" s="606">
        <f>'2-1. Aspen Utility'!K6</f>
        <v>0</v>
      </c>
      <c r="M13" s="606">
        <f>'2-1. Aspen Utility'!L6</f>
        <v>0</v>
      </c>
      <c r="N13" s="606">
        <f>'2-1. Aspen Utility'!M6</f>
        <v>0</v>
      </c>
      <c r="O13" s="606">
        <f>'2-1. Aspen Utility'!N6</f>
        <v>0</v>
      </c>
      <c r="P13" s="606">
        <f>'2-1. Aspen Utility'!O6</f>
        <v>0</v>
      </c>
      <c r="Q13" s="606">
        <f>'2-1. Aspen Utility'!P6</f>
        <v>0</v>
      </c>
      <c r="R13" s="606">
        <f>'2-1. Aspen Utility'!Q6</f>
        <v>0</v>
      </c>
      <c r="S13" s="849">
        <f>'2-1. Aspen Utility'!R6</f>
        <v>0</v>
      </c>
      <c r="T13" s="849">
        <f>'2-1. Aspen Utility'!S6</f>
        <v>0</v>
      </c>
    </row>
    <row r="14" spans="2:35">
      <c r="B14" s="317" t="s">
        <v>187</v>
      </c>
      <c r="C14" s="50" t="s">
        <v>657</v>
      </c>
      <c r="D14" s="881"/>
      <c r="E14" s="606">
        <f>'2-1. Aspen Utility'!D7</f>
        <v>0</v>
      </c>
      <c r="F14" s="606">
        <f>'2-1. Aspen Utility'!E7</f>
        <v>0</v>
      </c>
      <c r="G14" s="606">
        <f>'2-1. Aspen Utility'!F7</f>
        <v>0</v>
      </c>
      <c r="H14" s="606">
        <f>'2-1. Aspen Utility'!G7</f>
        <v>0</v>
      </c>
      <c r="I14" s="606">
        <f>'2-1. Aspen Utility'!H7</f>
        <v>0</v>
      </c>
      <c r="J14" s="606">
        <f>'2-1. Aspen Utility'!I7</f>
        <v>0</v>
      </c>
      <c r="K14" s="606">
        <f>'2-1. Aspen Utility'!J7</f>
        <v>0</v>
      </c>
      <c r="L14" s="606">
        <f>'2-1. Aspen Utility'!K7</f>
        <v>0</v>
      </c>
      <c r="M14" s="606">
        <f>'2-1. Aspen Utility'!L7</f>
        <v>0</v>
      </c>
      <c r="N14" s="606">
        <f>'2-1. Aspen Utility'!M7</f>
        <v>0</v>
      </c>
      <c r="O14" s="606">
        <f>'2-1. Aspen Utility'!N7</f>
        <v>0</v>
      </c>
      <c r="P14" s="606">
        <f>'2-1. Aspen Utility'!O7</f>
        <v>0</v>
      </c>
      <c r="Q14" s="606">
        <f>'2-1. Aspen Utility'!P7</f>
        <v>0</v>
      </c>
      <c r="R14" s="606">
        <f>'2-1. Aspen Utility'!Q7</f>
        <v>0</v>
      </c>
      <c r="S14" s="849">
        <f>'2-1. Aspen Utility'!R7</f>
        <v>0</v>
      </c>
      <c r="T14" s="849">
        <f>'2-1. Aspen Utility'!S7</f>
        <v>0</v>
      </c>
      <c r="AD14" t="s">
        <v>850</v>
      </c>
      <c r="AE14" t="s">
        <v>116</v>
      </c>
      <c r="AF14">
        <v>0</v>
      </c>
      <c r="AG14">
        <v>0</v>
      </c>
      <c r="AH14">
        <v>0</v>
      </c>
      <c r="AI14">
        <v>0</v>
      </c>
    </row>
    <row r="15" spans="2:35">
      <c r="B15" s="317" t="s">
        <v>784</v>
      </c>
      <c r="C15" s="50" t="s">
        <v>783</v>
      </c>
      <c r="D15" s="881"/>
      <c r="E15" s="606">
        <f>'2-1. Aspen Utility'!D8</f>
        <v>0</v>
      </c>
      <c r="F15" s="606">
        <f>'2-1. Aspen Utility'!E8</f>
        <v>0</v>
      </c>
      <c r="G15" s="606">
        <f>'2-1. Aspen Utility'!F8</f>
        <v>0</v>
      </c>
      <c r="H15" s="606">
        <f>'2-1. Aspen Utility'!G8</f>
        <v>0</v>
      </c>
      <c r="I15" s="606">
        <f>'2-1. Aspen Utility'!H8</f>
        <v>0</v>
      </c>
      <c r="J15" s="606">
        <f>'2-1. Aspen Utility'!I8</f>
        <v>0</v>
      </c>
      <c r="K15" s="606">
        <f>'2-1. Aspen Utility'!J8</f>
        <v>0</v>
      </c>
      <c r="L15" s="606">
        <f>'2-1. Aspen Utility'!K8</f>
        <v>0</v>
      </c>
      <c r="M15" s="606">
        <f>'2-1. Aspen Utility'!L8</f>
        <v>0</v>
      </c>
      <c r="N15" s="606">
        <f>'2-1. Aspen Utility'!M8</f>
        <v>0</v>
      </c>
      <c r="O15" s="606">
        <f>'2-1. Aspen Utility'!N8</f>
        <v>0</v>
      </c>
      <c r="P15" s="606">
        <f>'2-1. Aspen Utility'!O8</f>
        <v>0</v>
      </c>
      <c r="Q15" s="606">
        <f>'2-1. Aspen Utility'!P8</f>
        <v>0</v>
      </c>
      <c r="R15" s="606">
        <f>'2-1. Aspen Utility'!Q8</f>
        <v>0</v>
      </c>
      <c r="S15" s="849">
        <f>'2-1. Aspen Utility'!R8</f>
        <v>0</v>
      </c>
      <c r="T15" s="849">
        <f>'2-1. Aspen Utility'!S8</f>
        <v>0</v>
      </c>
      <c r="AD15" t="s">
        <v>167</v>
      </c>
      <c r="AE15" t="s">
        <v>116</v>
      </c>
      <c r="AF15">
        <v>0</v>
      </c>
      <c r="AG15">
        <v>0</v>
      </c>
      <c r="AH15">
        <v>0</v>
      </c>
      <c r="AI15">
        <v>0</v>
      </c>
    </row>
    <row r="16" spans="2:35">
      <c r="B16" s="317" t="s">
        <v>785</v>
      </c>
      <c r="C16" s="50" t="s">
        <v>783</v>
      </c>
      <c r="D16" s="881"/>
      <c r="E16" s="606">
        <f>'2-1. Aspen Utility'!D9</f>
        <v>0</v>
      </c>
      <c r="F16" s="606">
        <f>'2-1. Aspen Utility'!E9</f>
        <v>0</v>
      </c>
      <c r="G16" s="606">
        <f>'2-1. Aspen Utility'!F9</f>
        <v>0</v>
      </c>
      <c r="H16" s="606">
        <f>'2-1. Aspen Utility'!G9</f>
        <v>0</v>
      </c>
      <c r="I16" s="606">
        <f>'2-1. Aspen Utility'!H9</f>
        <v>787.0912281293181</v>
      </c>
      <c r="J16" s="606">
        <f>'2-1. Aspen Utility'!I9</f>
        <v>649.23815652584028</v>
      </c>
      <c r="K16" s="606">
        <f>'2-1. Aspen Utility'!J9</f>
        <v>529.53666076209356</v>
      </c>
      <c r="L16" s="606">
        <f>'2-1. Aspen Utility'!K9</f>
        <v>446.3177031729295</v>
      </c>
      <c r="M16" s="606">
        <f>'2-1. Aspen Utility'!L9</f>
        <v>0</v>
      </c>
      <c r="N16" s="606">
        <f>'2-1. Aspen Utility'!M9</f>
        <v>0</v>
      </c>
      <c r="O16" s="606">
        <f>'2-1. Aspen Utility'!N9</f>
        <v>0</v>
      </c>
      <c r="P16" s="606">
        <f>'2-1. Aspen Utility'!O9</f>
        <v>0</v>
      </c>
      <c r="Q16" s="606">
        <f>'2-1. Aspen Utility'!P9</f>
        <v>22.298386424797183</v>
      </c>
      <c r="R16" s="606">
        <f>'2-1. Aspen Utility'!Q9</f>
        <v>49.879328644441422</v>
      </c>
      <c r="S16" s="849">
        <f>'2-1. Aspen Utility'!R9</f>
        <v>50.793452088165481</v>
      </c>
      <c r="T16" s="849">
        <f>'2-1. Aspen Utility'!S9</f>
        <v>125.85289327332514</v>
      </c>
      <c r="AD16" t="s">
        <v>849</v>
      </c>
      <c r="AE16" t="s">
        <v>116</v>
      </c>
      <c r="AF16">
        <v>0</v>
      </c>
      <c r="AG16">
        <v>0.29535146536450202</v>
      </c>
      <c r="AH16">
        <v>4.5383727737593201E-2</v>
      </c>
      <c r="AI16">
        <v>2923.6870728075301</v>
      </c>
    </row>
    <row r="17" spans="2:35">
      <c r="B17" s="317" t="s">
        <v>596</v>
      </c>
      <c r="C17" s="50" t="s">
        <v>657</v>
      </c>
      <c r="D17" s="881"/>
      <c r="E17" s="606">
        <f>'2-1. Aspen Utility'!D10</f>
        <v>238557.95</v>
      </c>
      <c r="F17" s="606">
        <f>'2-1. Aspen Utility'!E10</f>
        <v>169532.285</v>
      </c>
      <c r="G17" s="606">
        <f>'2-1. Aspen Utility'!F10</f>
        <v>174006.8</v>
      </c>
      <c r="H17" s="606">
        <f>'2-1. Aspen Utility'!G10</f>
        <v>170031.16957</v>
      </c>
      <c r="I17" s="606">
        <f>'2-1. Aspen Utility'!H10</f>
        <v>238557.95</v>
      </c>
      <c r="J17" s="606">
        <f>'2-1. Aspen Utility'!I10</f>
        <v>169532.285</v>
      </c>
      <c r="K17" s="606">
        <f>'2-1. Aspen Utility'!J10</f>
        <v>174006.8</v>
      </c>
      <c r="L17" s="606">
        <f>'2-1. Aspen Utility'!K10</f>
        <v>170031.16957</v>
      </c>
      <c r="M17" s="606">
        <f>'2-1. Aspen Utility'!L10</f>
        <v>238557.95</v>
      </c>
      <c r="N17" s="606">
        <f>'2-1. Aspen Utility'!M10</f>
        <v>169532.285</v>
      </c>
      <c r="O17" s="606">
        <f>'2-1. Aspen Utility'!N10</f>
        <v>174006.8</v>
      </c>
      <c r="P17" s="606">
        <f>'2-1. Aspen Utility'!O10</f>
        <v>170031.16957</v>
      </c>
      <c r="Q17" s="606">
        <f>'2-1. Aspen Utility'!P10</f>
        <v>238557.95</v>
      </c>
      <c r="R17" s="606">
        <f>'2-1. Aspen Utility'!Q10</f>
        <v>169532.285</v>
      </c>
      <c r="S17" s="849">
        <f>'2-1. Aspen Utility'!R10</f>
        <v>174006.8</v>
      </c>
      <c r="T17" s="849">
        <f>'2-1. Aspen Utility'!S10</f>
        <v>170031.16957</v>
      </c>
      <c r="AD17" t="s">
        <v>132</v>
      </c>
      <c r="AE17" t="s">
        <v>116</v>
      </c>
      <c r="AF17">
        <v>0</v>
      </c>
      <c r="AG17">
        <v>4537.5759403578404</v>
      </c>
      <c r="AH17">
        <v>6.9237344959146893E-2</v>
      </c>
      <c r="AI17">
        <v>2.3881978633461899E-2</v>
      </c>
    </row>
    <row r="18" spans="2:35">
      <c r="B18" s="317"/>
      <c r="C18" s="50"/>
      <c r="D18" s="881" t="s">
        <v>853</v>
      </c>
      <c r="E18" s="621"/>
      <c r="F18" s="621"/>
      <c r="G18" s="621"/>
      <c r="H18" s="621"/>
      <c r="I18" s="621"/>
      <c r="J18" s="711"/>
      <c r="K18" s="711"/>
      <c r="L18" s="711"/>
      <c r="M18" s="711"/>
      <c r="N18" s="711"/>
      <c r="O18" s="616"/>
      <c r="P18" s="616"/>
      <c r="Q18" s="616"/>
      <c r="R18" s="616"/>
      <c r="S18" s="848"/>
      <c r="T18" s="848"/>
      <c r="AD18" t="s">
        <v>944</v>
      </c>
      <c r="AE18" t="s">
        <v>116</v>
      </c>
      <c r="AF18">
        <v>0</v>
      </c>
      <c r="AG18">
        <v>0</v>
      </c>
      <c r="AH18">
        <v>0</v>
      </c>
      <c r="AI18">
        <v>0</v>
      </c>
    </row>
    <row r="19" spans="2:35">
      <c r="B19" s="316" t="s">
        <v>778</v>
      </c>
      <c r="C19" s="50"/>
      <c r="D19" s="881"/>
      <c r="E19" s="621"/>
      <c r="F19" s="621"/>
      <c r="G19" s="621"/>
      <c r="H19" s="621"/>
      <c r="I19" s="621"/>
      <c r="J19" s="711"/>
      <c r="K19" s="711"/>
      <c r="L19" s="711"/>
      <c r="M19" s="711"/>
      <c r="N19" s="711"/>
      <c r="O19" s="616"/>
      <c r="P19" s="616"/>
      <c r="Q19" s="616"/>
      <c r="R19" s="616"/>
      <c r="S19" s="848"/>
      <c r="T19" s="848"/>
      <c r="AD19" t="s">
        <v>945</v>
      </c>
      <c r="AE19" t="s">
        <v>116</v>
      </c>
      <c r="AF19">
        <v>0</v>
      </c>
      <c r="AG19">
        <v>0</v>
      </c>
      <c r="AH19">
        <v>0</v>
      </c>
      <c r="AI19">
        <v>0</v>
      </c>
    </row>
    <row r="20" spans="2:35">
      <c r="B20" s="317" t="s">
        <v>622</v>
      </c>
      <c r="C20" s="50" t="s">
        <v>652</v>
      </c>
      <c r="D20" s="881">
        <v>60867.666647693899</v>
      </c>
      <c r="E20" s="621">
        <v>145112.022530863</v>
      </c>
      <c r="F20" s="621">
        <v>133487.58060378701</v>
      </c>
      <c r="G20" s="621">
        <v>125331.35611995999</v>
      </c>
      <c r="H20" s="621">
        <v>111878.443688577</v>
      </c>
      <c r="I20" s="621">
        <v>145112.022530863</v>
      </c>
      <c r="J20" s="621">
        <v>133487.58060378701</v>
      </c>
      <c r="K20" s="621">
        <v>125331.35611995999</v>
      </c>
      <c r="L20" s="621">
        <v>111878.443688577</v>
      </c>
      <c r="M20" s="621">
        <v>145100.56713225399</v>
      </c>
      <c r="N20" s="621">
        <v>133442.95817103001</v>
      </c>
      <c r="O20" s="621">
        <v>125323.77620264</v>
      </c>
      <c r="P20" s="621">
        <v>113604.93087618399</v>
      </c>
      <c r="Q20" s="621">
        <v>145100.56713225399</v>
      </c>
      <c r="R20" s="621">
        <v>133442.95817103001</v>
      </c>
      <c r="S20" s="850">
        <v>125323.77620264</v>
      </c>
      <c r="T20" s="850">
        <v>113604.93087618399</v>
      </c>
      <c r="AD20" t="s">
        <v>946</v>
      </c>
      <c r="AE20" t="s">
        <v>116</v>
      </c>
      <c r="AF20">
        <v>0</v>
      </c>
      <c r="AG20">
        <v>0</v>
      </c>
      <c r="AH20">
        <v>0</v>
      </c>
      <c r="AI20">
        <v>0</v>
      </c>
    </row>
    <row r="21" spans="2:35">
      <c r="B21" s="317" t="s">
        <v>1030</v>
      </c>
      <c r="C21" s="50" t="s">
        <v>652</v>
      </c>
      <c r="D21" s="881">
        <f>33773.4080104551*0.9</f>
        <v>30396.067209409593</v>
      </c>
      <c r="E21" s="621">
        <v>29204.425087580901</v>
      </c>
      <c r="F21" s="621">
        <v>30749.563148845798</v>
      </c>
      <c r="G21" s="621">
        <v>31567.6307225071</v>
      </c>
      <c r="H21" s="621">
        <v>33099.657940027697</v>
      </c>
      <c r="I21" s="621">
        <v>29204.425087580901</v>
      </c>
      <c r="J21" s="621">
        <v>30749.563148845798</v>
      </c>
      <c r="K21" s="621">
        <v>31567.6307225071</v>
      </c>
      <c r="L21" s="621">
        <v>33099.657940027697</v>
      </c>
      <c r="M21" s="621">
        <v>29499.3359718264</v>
      </c>
      <c r="N21" s="621">
        <v>31440.489703278799</v>
      </c>
      <c r="O21" s="621">
        <v>32334.183000735102</v>
      </c>
      <c r="P21" s="621">
        <v>33306.628693703198</v>
      </c>
      <c r="Q21" s="621">
        <v>29499.3359718264</v>
      </c>
      <c r="R21" s="621">
        <v>31440.489703278799</v>
      </c>
      <c r="S21" s="850">
        <v>32334.183000735102</v>
      </c>
      <c r="T21" s="850">
        <v>33306.628693703198</v>
      </c>
      <c r="AD21" t="s">
        <v>131</v>
      </c>
      <c r="AE21" t="s">
        <v>116</v>
      </c>
      <c r="AF21">
        <v>7486.7566428719201</v>
      </c>
      <c r="AG21">
        <v>0.59133166178506402</v>
      </c>
      <c r="AH21">
        <v>61.706326470415</v>
      </c>
      <c r="AI21">
        <v>0.590681275813974</v>
      </c>
    </row>
    <row r="22" spans="2:35">
      <c r="B22" s="317" t="s">
        <v>780</v>
      </c>
      <c r="C22" s="50" t="s">
        <v>652</v>
      </c>
      <c r="D22" s="881">
        <v>4312.9737713518198</v>
      </c>
      <c r="E22" s="621">
        <v>1639.73706493131</v>
      </c>
      <c r="F22" s="621">
        <v>2744.5061139831701</v>
      </c>
      <c r="G22" s="621">
        <v>4279.67670851409</v>
      </c>
      <c r="H22" s="621">
        <v>6081.1880654790302</v>
      </c>
      <c r="I22" s="621">
        <v>1639.73706493131</v>
      </c>
      <c r="J22" s="621">
        <v>2744.5061139831701</v>
      </c>
      <c r="K22" s="621">
        <v>4279.67670851409</v>
      </c>
      <c r="L22" s="621">
        <v>6081.1880654790302</v>
      </c>
      <c r="M22" s="621">
        <v>1639.5145450867601</v>
      </c>
      <c r="N22" s="621">
        <v>2743.1846209826599</v>
      </c>
      <c r="O22" s="621">
        <v>4278.3967193696999</v>
      </c>
      <c r="P22" s="621">
        <v>6081.5510732254297</v>
      </c>
      <c r="Q22" s="621">
        <v>1639.5145450867601</v>
      </c>
      <c r="R22" s="621">
        <v>2743.1846209826599</v>
      </c>
      <c r="S22" s="850">
        <v>4278.3967193696999</v>
      </c>
      <c r="T22" s="850">
        <v>6081.5510732254297</v>
      </c>
      <c r="AD22" t="s">
        <v>133</v>
      </c>
      <c r="AE22" t="s">
        <v>116</v>
      </c>
      <c r="AF22">
        <v>0</v>
      </c>
      <c r="AG22">
        <f>0.0087134729667618*2</f>
        <v>1.7426945933523601E-2</v>
      </c>
      <c r="AH22">
        <f>0.450407604647265*2</f>
        <v>0.90081520929452996</v>
      </c>
      <c r="AI22" s="44">
        <v>4.1492742355344202E-8</v>
      </c>
    </row>
    <row r="23" spans="2:35">
      <c r="B23" s="317" t="s">
        <v>781</v>
      </c>
      <c r="C23" s="50" t="s">
        <v>652</v>
      </c>
      <c r="D23" s="881">
        <v>11415.9923572681</v>
      </c>
      <c r="E23" s="621">
        <v>13580.343076982101</v>
      </c>
      <c r="F23" s="621">
        <v>18923.614819725401</v>
      </c>
      <c r="G23" s="621">
        <v>24134.3220933429</v>
      </c>
      <c r="H23" s="621">
        <v>30241.559619005999</v>
      </c>
      <c r="I23" s="621">
        <v>13580.343076982101</v>
      </c>
      <c r="J23" s="621">
        <v>18923.614819725401</v>
      </c>
      <c r="K23" s="621">
        <v>24134.3220933429</v>
      </c>
      <c r="L23" s="621">
        <v>30241.559619005999</v>
      </c>
      <c r="M23" s="621">
        <v>13579.034575081299</v>
      </c>
      <c r="N23" s="621">
        <v>18915.1988563829</v>
      </c>
      <c r="O23" s="621">
        <v>24132.565650638</v>
      </c>
      <c r="P23" s="621">
        <v>30380.708346108899</v>
      </c>
      <c r="Q23" s="621">
        <v>13579.034575081299</v>
      </c>
      <c r="R23" s="621">
        <v>18915.1988563829</v>
      </c>
      <c r="S23" s="850">
        <v>24132.565650638</v>
      </c>
      <c r="T23" s="850">
        <v>30380.708346108899</v>
      </c>
    </row>
    <row r="24" spans="2:35">
      <c r="B24" s="317" t="s">
        <v>779</v>
      </c>
      <c r="C24" s="50" t="s">
        <v>652</v>
      </c>
      <c r="D24" s="881">
        <v>0</v>
      </c>
      <c r="E24" s="621">
        <v>14989.2526664789</v>
      </c>
      <c r="F24" s="621">
        <v>11498.7613503297</v>
      </c>
      <c r="G24" s="621">
        <v>11237.7086787423</v>
      </c>
      <c r="H24" s="621">
        <v>7810.8885401473299</v>
      </c>
      <c r="I24" s="621">
        <v>14989.2526664789</v>
      </c>
      <c r="J24" s="621">
        <v>11498.7613503297</v>
      </c>
      <c r="K24" s="621">
        <v>11237.7086787423</v>
      </c>
      <c r="L24" s="621">
        <v>7810.8885401473299</v>
      </c>
      <c r="M24" s="621">
        <v>14988.3573125441</v>
      </c>
      <c r="N24" s="621">
        <v>11496.6287768208</v>
      </c>
      <c r="O24" s="621">
        <v>11237.857490140001</v>
      </c>
      <c r="P24" s="621">
        <v>11783.993089783</v>
      </c>
      <c r="Q24" s="621">
        <v>14988.3573125441</v>
      </c>
      <c r="R24" s="621">
        <v>11496.6287768208</v>
      </c>
      <c r="S24" s="850">
        <v>11237.857490140001</v>
      </c>
      <c r="T24" s="850">
        <v>11783.993089783</v>
      </c>
    </row>
    <row r="25" spans="2:35">
      <c r="B25" s="317" t="s">
        <v>623</v>
      </c>
      <c r="C25" s="50" t="s">
        <v>652</v>
      </c>
      <c r="D25" s="881">
        <v>70796.472034733597</v>
      </c>
      <c r="E25" s="621">
        <v>0</v>
      </c>
      <c r="F25" s="621">
        <v>0</v>
      </c>
      <c r="G25" s="621">
        <v>0</v>
      </c>
      <c r="H25" s="621">
        <v>0</v>
      </c>
      <c r="I25" s="621">
        <v>0</v>
      </c>
      <c r="J25" s="621">
        <v>0</v>
      </c>
      <c r="K25" s="621">
        <v>0</v>
      </c>
      <c r="L25" s="621">
        <v>0</v>
      </c>
      <c r="M25" s="711">
        <f t="shared" ref="K25:N29" si="1">H25</f>
        <v>0</v>
      </c>
      <c r="N25" s="711">
        <f t="shared" si="1"/>
        <v>0</v>
      </c>
      <c r="O25" s="616">
        <v>0</v>
      </c>
      <c r="P25" s="616"/>
      <c r="Q25" s="616"/>
      <c r="R25" s="616">
        <v>0</v>
      </c>
      <c r="S25" s="848"/>
      <c r="T25" s="848"/>
    </row>
    <row r="26" spans="2:35">
      <c r="B26" s="749" t="s">
        <v>168</v>
      </c>
      <c r="C26" s="742" t="s">
        <v>652</v>
      </c>
      <c r="D26" s="791"/>
      <c r="E26" s="750"/>
      <c r="F26" s="750"/>
      <c r="G26" s="750"/>
      <c r="H26" s="750"/>
      <c r="I26" s="750">
        <v>530905.82126090804</v>
      </c>
      <c r="J26" s="806">
        <v>457239.37406881503</v>
      </c>
      <c r="K26" s="806">
        <v>390408.41196382098</v>
      </c>
      <c r="L26" s="806">
        <v>359446.39217240101</v>
      </c>
      <c r="M26" s="806"/>
      <c r="N26" s="806"/>
      <c r="O26" s="846"/>
      <c r="P26" s="846"/>
      <c r="Q26" s="846">
        <v>15047.780246148101</v>
      </c>
      <c r="R26" s="846">
        <v>36807.667823902302</v>
      </c>
      <c r="S26" s="742">
        <v>39566.985013380399</v>
      </c>
      <c r="T26" s="742">
        <v>62493.325485276902</v>
      </c>
    </row>
    <row r="27" spans="2:35">
      <c r="B27" s="317" t="s">
        <v>849</v>
      </c>
      <c r="C27" s="50" t="s">
        <v>652</v>
      </c>
      <c r="D27" s="791"/>
      <c r="E27" s="606"/>
      <c r="F27" s="606"/>
      <c r="G27" s="606"/>
      <c r="H27" s="606"/>
      <c r="I27" s="606"/>
      <c r="J27" s="711">
        <f t="shared" ref="J27:J29" si="2">E27</f>
        <v>0</v>
      </c>
      <c r="K27" s="711">
        <f t="shared" si="1"/>
        <v>0</v>
      </c>
      <c r="L27" s="711">
        <f t="shared" si="1"/>
        <v>0</v>
      </c>
      <c r="M27" s="711">
        <f t="shared" si="1"/>
        <v>0</v>
      </c>
      <c r="N27" s="711">
        <f t="shared" si="1"/>
        <v>0</v>
      </c>
      <c r="O27" s="616">
        <v>0</v>
      </c>
      <c r="P27" s="616"/>
      <c r="Q27" s="616"/>
      <c r="R27" s="616">
        <v>0</v>
      </c>
      <c r="S27" s="848"/>
      <c r="T27" s="848"/>
    </row>
    <row r="28" spans="2:35">
      <c r="B28" s="317" t="s">
        <v>1044</v>
      </c>
      <c r="C28" s="50" t="s">
        <v>652</v>
      </c>
      <c r="D28" s="791"/>
      <c r="E28" s="606"/>
      <c r="F28" s="606"/>
      <c r="G28" s="606"/>
      <c r="H28" s="606"/>
      <c r="I28" s="606"/>
      <c r="J28" s="711">
        <f t="shared" si="2"/>
        <v>0</v>
      </c>
      <c r="K28" s="711">
        <f t="shared" si="1"/>
        <v>0</v>
      </c>
      <c r="L28" s="711">
        <f t="shared" si="1"/>
        <v>0</v>
      </c>
      <c r="M28" s="711">
        <f t="shared" si="1"/>
        <v>0</v>
      </c>
      <c r="N28" s="711">
        <f t="shared" si="1"/>
        <v>0</v>
      </c>
      <c r="O28" s="616"/>
      <c r="P28" s="616"/>
      <c r="Q28" s="616"/>
      <c r="R28" s="616">
        <v>0</v>
      </c>
      <c r="S28" s="848"/>
      <c r="T28" s="848"/>
    </row>
    <row r="29" spans="2:35">
      <c r="B29" s="317" t="s">
        <v>1050</v>
      </c>
      <c r="C29" s="50" t="s">
        <v>652</v>
      </c>
      <c r="D29" s="791"/>
      <c r="E29" s="606"/>
      <c r="F29" s="606"/>
      <c r="G29" s="606"/>
      <c r="H29" s="606"/>
      <c r="I29" s="606"/>
      <c r="J29" s="711">
        <f t="shared" si="2"/>
        <v>0</v>
      </c>
      <c r="K29" s="711">
        <f t="shared" si="1"/>
        <v>0</v>
      </c>
      <c r="L29" s="711">
        <f t="shared" si="1"/>
        <v>0</v>
      </c>
      <c r="M29" s="711">
        <f t="shared" si="1"/>
        <v>0</v>
      </c>
      <c r="N29" s="711">
        <f t="shared" si="1"/>
        <v>0</v>
      </c>
      <c r="O29" s="616"/>
      <c r="P29" s="616"/>
      <c r="Q29" s="616"/>
      <c r="R29" s="616">
        <v>0</v>
      </c>
      <c r="S29" s="848"/>
      <c r="T29" s="848"/>
    </row>
    <row r="30" spans="2:35">
      <c r="D30" s="803"/>
      <c r="E30" s="288"/>
      <c r="F30" s="288"/>
      <c r="G30" s="288"/>
      <c r="H30" s="288"/>
      <c r="I30" s="288"/>
      <c r="J30" s="712"/>
      <c r="K30" s="712"/>
      <c r="L30" s="712"/>
      <c r="M30" s="712"/>
      <c r="N30" s="712"/>
      <c r="O30" s="609"/>
      <c r="P30" s="609"/>
      <c r="U30" s="82"/>
      <c r="V30" s="82"/>
    </row>
    <row r="31" spans="2:35">
      <c r="I31">
        <f>I21/I6</f>
        <v>0.13804801151086235</v>
      </c>
      <c r="J31">
        <f t="shared" ref="J31:L31" si="3">J21/J6</f>
        <v>0.1453518100354933</v>
      </c>
      <c r="K31">
        <f t="shared" si="3"/>
        <v>0.14921877887623528</v>
      </c>
      <c r="L31">
        <f t="shared" si="3"/>
        <v>0.15646060302873929</v>
      </c>
      <c r="M31" s="705"/>
      <c r="N31" s="705"/>
      <c r="O31" s="609"/>
      <c r="P31" s="609"/>
      <c r="Q31" s="609"/>
      <c r="R31" s="609"/>
      <c r="W31" s="82"/>
      <c r="X31" s="82"/>
    </row>
    <row r="32" spans="2:35" ht="20.25">
      <c r="B32" s="335" t="s">
        <v>810</v>
      </c>
      <c r="C32" s="336"/>
      <c r="E32" s="336"/>
      <c r="F32" s="336"/>
      <c r="G32" s="337"/>
      <c r="H32" s="336"/>
      <c r="I32" s="336"/>
      <c r="J32" s="713"/>
      <c r="K32" s="713"/>
      <c r="L32" s="713"/>
      <c r="M32" s="713"/>
      <c r="N32" s="713"/>
      <c r="O32" s="609"/>
      <c r="P32" s="609"/>
      <c r="Q32" s="609"/>
      <c r="R32" s="609"/>
      <c r="W32" s="82"/>
      <c r="X32" s="82"/>
    </row>
    <row r="33" spans="2:26">
      <c r="B33" s="123"/>
      <c r="C33" s="123"/>
      <c r="D33" s="790" t="s">
        <v>773</v>
      </c>
      <c r="E33" s="315" t="s">
        <v>1147</v>
      </c>
      <c r="F33" s="315" t="s">
        <v>1148</v>
      </c>
      <c r="G33" s="315" t="s">
        <v>1149</v>
      </c>
      <c r="H33" s="315" t="s">
        <v>1150</v>
      </c>
      <c r="I33" s="841" t="s">
        <v>1164</v>
      </c>
      <c r="J33" s="842" t="s">
        <v>1166</v>
      </c>
      <c r="K33" s="842" t="s">
        <v>1167</v>
      </c>
      <c r="L33" s="842" t="s">
        <v>1168</v>
      </c>
      <c r="M33" s="843" t="s">
        <v>1172</v>
      </c>
      <c r="N33" s="843" t="s">
        <v>1174</v>
      </c>
      <c r="O33" s="844" t="s">
        <v>1176</v>
      </c>
      <c r="P33" s="844" t="s">
        <v>1178</v>
      </c>
      <c r="Q33" s="845" t="s">
        <v>1180</v>
      </c>
      <c r="R33" s="845" t="s">
        <v>1182</v>
      </c>
      <c r="S33" s="845" t="s">
        <v>1184</v>
      </c>
      <c r="T33" s="845" t="s">
        <v>1186</v>
      </c>
      <c r="W33" s="82"/>
      <c r="X33" s="82"/>
    </row>
    <row r="34" spans="2:26">
      <c r="B34" s="228" t="s">
        <v>772</v>
      </c>
      <c r="C34" s="123"/>
      <c r="D34" s="882">
        <v>4.4400000000000004</v>
      </c>
      <c r="E34" s="853">
        <v>4.5599999999999996</v>
      </c>
      <c r="F34" s="853">
        <v>3.44</v>
      </c>
      <c r="G34" s="853">
        <v>2.33</v>
      </c>
      <c r="H34" s="853">
        <v>1.22</v>
      </c>
      <c r="I34" s="853">
        <v>4.5599999999999996</v>
      </c>
      <c r="J34" s="853">
        <v>3.44</v>
      </c>
      <c r="K34" s="853">
        <v>2.33</v>
      </c>
      <c r="L34" s="853">
        <v>1.22</v>
      </c>
      <c r="M34" s="853">
        <v>4.5599999999999996</v>
      </c>
      <c r="N34" s="853">
        <v>3.44</v>
      </c>
      <c r="O34" s="853">
        <v>2.33</v>
      </c>
      <c r="P34" s="853">
        <v>1.22</v>
      </c>
      <c r="Q34" s="853">
        <v>4.5599999999999996</v>
      </c>
      <c r="R34" s="853">
        <v>3.44</v>
      </c>
      <c r="S34" s="805">
        <v>2.33</v>
      </c>
      <c r="T34" s="805">
        <v>1.22</v>
      </c>
      <c r="W34" s="82"/>
      <c r="X34" s="82"/>
    </row>
    <row r="35" spans="2:26">
      <c r="B35" s="228" t="s">
        <v>771</v>
      </c>
      <c r="C35" s="123"/>
      <c r="D35" s="803"/>
      <c r="E35" s="320"/>
      <c r="F35" s="320"/>
      <c r="G35" s="320"/>
      <c r="H35" s="320"/>
      <c r="I35" s="320"/>
      <c r="J35" s="687"/>
      <c r="K35" s="687"/>
      <c r="L35" s="687"/>
      <c r="M35" s="687"/>
      <c r="N35" s="687"/>
      <c r="O35" s="562"/>
      <c r="P35" s="562"/>
      <c r="Q35" s="562"/>
      <c r="R35" s="562"/>
      <c r="S35" s="805"/>
      <c r="T35" s="805"/>
      <c r="W35" s="82"/>
      <c r="X35" s="82"/>
      <c r="Y35" s="310"/>
      <c r="Z35" s="310"/>
    </row>
    <row r="36" spans="2:26">
      <c r="B36" s="321" t="s">
        <v>851</v>
      </c>
      <c r="C36" s="123" t="s">
        <v>808</v>
      </c>
      <c r="D36" s="803">
        <v>13186.8</v>
      </c>
      <c r="E36" s="320">
        <v>13186.8</v>
      </c>
      <c r="F36" s="320">
        <v>13186.8</v>
      </c>
      <c r="G36" s="320">
        <v>13186.8</v>
      </c>
      <c r="H36" s="320">
        <v>13186.8</v>
      </c>
      <c r="I36" s="320">
        <v>13186.8</v>
      </c>
      <c r="J36" s="320">
        <v>13186.8</v>
      </c>
      <c r="K36" s="320">
        <v>13186.8</v>
      </c>
      <c r="L36" s="320">
        <v>13186.8</v>
      </c>
      <c r="M36" s="320">
        <v>13186.8</v>
      </c>
      <c r="N36" s="320">
        <v>13186.8</v>
      </c>
      <c r="O36" s="320">
        <v>13186.8</v>
      </c>
      <c r="P36" s="320">
        <v>13186.8</v>
      </c>
      <c r="Q36" s="320">
        <v>13186.8</v>
      </c>
      <c r="R36" s="320">
        <v>13186.8</v>
      </c>
      <c r="S36" s="794">
        <v>13186.8</v>
      </c>
      <c r="T36" s="794">
        <v>13186.8</v>
      </c>
      <c r="W36" s="82"/>
      <c r="X36" s="82"/>
    </row>
    <row r="37" spans="2:26">
      <c r="B37" s="321" t="s">
        <v>852</v>
      </c>
      <c r="C37" s="123" t="s">
        <v>808</v>
      </c>
      <c r="D37" s="803"/>
      <c r="E37" s="320">
        <v>11298.3048887268</v>
      </c>
      <c r="F37" s="320">
        <v>10425.1855816189</v>
      </c>
      <c r="G37" s="320">
        <v>8635.4534392292408</v>
      </c>
      <c r="H37" s="320">
        <v>7581.4523267309596</v>
      </c>
      <c r="I37" s="320">
        <v>11298.3048887268</v>
      </c>
      <c r="J37" s="320">
        <v>10425.1855816189</v>
      </c>
      <c r="K37" s="320">
        <v>8635.4534392292408</v>
      </c>
      <c r="L37" s="320">
        <v>7581.4523267309596</v>
      </c>
      <c r="M37" s="320"/>
      <c r="N37" s="687"/>
      <c r="O37" s="562"/>
      <c r="P37" s="562"/>
      <c r="Q37" s="562"/>
      <c r="R37" s="562"/>
      <c r="S37" s="805"/>
      <c r="T37" s="805"/>
    </row>
    <row r="38" spans="2:26">
      <c r="B38" s="123"/>
      <c r="C38" s="123"/>
      <c r="D38" s="803"/>
      <c r="E38" s="320"/>
      <c r="F38" s="320"/>
      <c r="G38" s="320"/>
      <c r="H38" s="320"/>
      <c r="I38" s="320"/>
      <c r="J38" s="320"/>
      <c r="K38" s="320"/>
      <c r="L38" s="320"/>
      <c r="M38" s="320"/>
      <c r="N38" s="687"/>
      <c r="O38" s="562"/>
      <c r="P38" s="562"/>
      <c r="Q38" s="562"/>
      <c r="R38" s="562"/>
      <c r="S38" s="805"/>
      <c r="T38" s="805"/>
    </row>
    <row r="39" spans="2:26">
      <c r="B39" s="228" t="s">
        <v>778</v>
      </c>
      <c r="C39" s="123"/>
      <c r="D39" s="803"/>
      <c r="E39" s="320"/>
      <c r="F39" s="320"/>
      <c r="G39" s="320"/>
      <c r="H39" s="320"/>
      <c r="I39" s="320"/>
      <c r="J39" s="320"/>
      <c r="K39" s="320"/>
      <c r="L39" s="320"/>
      <c r="M39" s="320"/>
      <c r="N39" s="687"/>
      <c r="O39" s="562"/>
      <c r="P39" s="562"/>
      <c r="Q39" s="562"/>
      <c r="R39" s="562"/>
      <c r="S39" s="805"/>
      <c r="T39" s="805"/>
    </row>
    <row r="40" spans="2:26">
      <c r="B40" s="321" t="s">
        <v>622</v>
      </c>
      <c r="C40" s="123" t="s">
        <v>808</v>
      </c>
      <c r="D40" s="803"/>
      <c r="E40" s="320">
        <v>10344.205554331</v>
      </c>
      <c r="F40" s="320">
        <v>9515.8745360334997</v>
      </c>
      <c r="G40" s="320">
        <v>8934.4789032586596</v>
      </c>
      <c r="H40" s="320">
        <v>7977.23398345849</v>
      </c>
      <c r="I40" s="320">
        <v>10344.205554331</v>
      </c>
      <c r="J40" s="320">
        <v>9515.8745360334997</v>
      </c>
      <c r="K40" s="320">
        <v>8934.4789032586596</v>
      </c>
      <c r="L40" s="320">
        <v>7977.23398345849</v>
      </c>
      <c r="M40" s="320">
        <v>10343.3889986174</v>
      </c>
      <c r="N40" s="320">
        <v>9512.6936757605199</v>
      </c>
      <c r="O40" s="320">
        <v>8933.9385820195694</v>
      </c>
      <c r="P40" s="320">
        <v>8099.3458840227804</v>
      </c>
      <c r="Q40" s="320">
        <v>10343.3889986174</v>
      </c>
      <c r="R40" s="320">
        <v>9512.6936757605199</v>
      </c>
      <c r="S40" s="794">
        <v>8933.9385820195694</v>
      </c>
      <c r="T40" s="794">
        <v>8099.3458840227804</v>
      </c>
    </row>
    <row r="41" spans="2:26">
      <c r="B41" s="321" t="s">
        <v>629</v>
      </c>
      <c r="C41" s="123" t="s">
        <v>808</v>
      </c>
      <c r="D41" s="803"/>
      <c r="E41" s="320">
        <v>0</v>
      </c>
      <c r="F41" s="320">
        <v>0</v>
      </c>
      <c r="G41" s="320">
        <v>0</v>
      </c>
      <c r="H41" s="320">
        <v>0</v>
      </c>
      <c r="I41" s="320">
        <v>0</v>
      </c>
      <c r="J41" s="320">
        <v>0</v>
      </c>
      <c r="K41" s="320">
        <v>0</v>
      </c>
      <c r="L41" s="320">
        <v>0</v>
      </c>
      <c r="M41" s="320">
        <v>0</v>
      </c>
      <c r="N41" s="320">
        <v>0</v>
      </c>
      <c r="O41" s="320">
        <v>0</v>
      </c>
      <c r="P41" s="320">
        <v>0</v>
      </c>
      <c r="Q41" s="320">
        <v>0</v>
      </c>
      <c r="R41" s="320">
        <v>0</v>
      </c>
      <c r="S41" s="794">
        <v>0</v>
      </c>
      <c r="T41" s="794">
        <v>0</v>
      </c>
    </row>
    <row r="42" spans="2:26">
      <c r="B42" s="321" t="s">
        <v>780</v>
      </c>
      <c r="C42" s="123" t="s">
        <v>808</v>
      </c>
      <c r="D42" s="803"/>
      <c r="E42" s="320">
        <v>127.810280877396</v>
      </c>
      <c r="F42" s="320">
        <v>213.92230506763201</v>
      </c>
      <c r="G42" s="320">
        <v>333.62679307705201</v>
      </c>
      <c r="H42" s="320">
        <v>474.080287385433</v>
      </c>
      <c r="I42" s="320">
        <v>127.810280877396</v>
      </c>
      <c r="J42" s="320">
        <v>213.92230506763201</v>
      </c>
      <c r="K42" s="320">
        <v>333.62679307705201</v>
      </c>
      <c r="L42" s="320">
        <v>474.080287385433</v>
      </c>
      <c r="M42" s="320">
        <v>127.79298840856001</v>
      </c>
      <c r="N42" s="320">
        <v>213.819620251462</v>
      </c>
      <c r="O42" s="320">
        <v>333.52766313884501</v>
      </c>
      <c r="P42" s="320">
        <v>474.09868492554898</v>
      </c>
      <c r="Q42" s="320">
        <v>127.79298840856001</v>
      </c>
      <c r="R42" s="320">
        <v>213.819620251462</v>
      </c>
      <c r="S42" s="794">
        <v>333.52766313884501</v>
      </c>
      <c r="T42" s="794">
        <v>474.09868492554898</v>
      </c>
    </row>
    <row r="43" spans="2:26">
      <c r="B43" s="321" t="s">
        <v>781</v>
      </c>
      <c r="C43" s="123" t="s">
        <v>808</v>
      </c>
      <c r="D43" s="803"/>
      <c r="E43" s="320">
        <v>1042.8819386564401</v>
      </c>
      <c r="F43" s="320">
        <v>1449.57388435798</v>
      </c>
      <c r="G43" s="320">
        <v>1853.20231256897</v>
      </c>
      <c r="H43" s="320">
        <v>2321.9208383393602</v>
      </c>
      <c r="I43" s="320">
        <v>1042.8819386564401</v>
      </c>
      <c r="J43" s="320">
        <v>1449.57388435798</v>
      </c>
      <c r="K43" s="320">
        <v>1853.20231256897</v>
      </c>
      <c r="L43" s="320">
        <v>2321.9208383393602</v>
      </c>
      <c r="M43" s="320">
        <v>1042.7815968023499</v>
      </c>
      <c r="N43" s="320">
        <v>1448.9396447634299</v>
      </c>
      <c r="O43" s="320">
        <v>1853.0685064628999</v>
      </c>
      <c r="P43" s="320">
        <v>2332.11376705777</v>
      </c>
      <c r="Q43" s="320">
        <v>1042.7815968023499</v>
      </c>
      <c r="R43" s="320">
        <v>1448.9396447634299</v>
      </c>
      <c r="S43" s="794">
        <v>1853.0685064628999</v>
      </c>
      <c r="T43" s="794">
        <v>2332.11376705777</v>
      </c>
    </row>
    <row r="44" spans="2:26">
      <c r="B44" s="321" t="s">
        <v>779</v>
      </c>
      <c r="C44" s="123" t="s">
        <v>808</v>
      </c>
      <c r="D44" s="803"/>
      <c r="E44" s="320">
        <v>1017.2101929018399</v>
      </c>
      <c r="F44" s="320">
        <v>782.42890716162299</v>
      </c>
      <c r="G44" s="320">
        <v>771.28268244438505</v>
      </c>
      <c r="H44" s="320">
        <v>532.60765241916204</v>
      </c>
      <c r="I44" s="320">
        <v>1017.2101929018399</v>
      </c>
      <c r="J44" s="320">
        <v>782.42890716162299</v>
      </c>
      <c r="K44" s="320">
        <v>771.28268244438505</v>
      </c>
      <c r="L44" s="320">
        <v>532.60765241916204</v>
      </c>
      <c r="M44" s="320">
        <v>1017.15211781365</v>
      </c>
      <c r="N44" s="320">
        <v>782.29251126531301</v>
      </c>
      <c r="O44" s="320">
        <v>771.29949704595799</v>
      </c>
      <c r="P44" s="320">
        <v>816.510261500193</v>
      </c>
      <c r="Q44" s="320">
        <v>1017.15211781365</v>
      </c>
      <c r="R44" s="320">
        <v>782.29251126531301</v>
      </c>
      <c r="S44" s="794">
        <v>771.29949704595799</v>
      </c>
      <c r="T44" s="794">
        <v>816.510261500193</v>
      </c>
    </row>
    <row r="45" spans="2:26">
      <c r="B45" s="321" t="s">
        <v>623</v>
      </c>
      <c r="C45" s="123" t="s">
        <v>808</v>
      </c>
      <c r="D45" s="803"/>
      <c r="E45" s="320">
        <v>0</v>
      </c>
      <c r="F45" s="320">
        <v>0</v>
      </c>
      <c r="G45" s="320">
        <v>0</v>
      </c>
      <c r="H45" s="320">
        <v>0</v>
      </c>
      <c r="I45" s="320">
        <v>0</v>
      </c>
      <c r="J45" s="320">
        <v>0</v>
      </c>
      <c r="K45" s="320">
        <v>0</v>
      </c>
      <c r="L45" s="320">
        <v>0</v>
      </c>
      <c r="M45" s="320">
        <v>0</v>
      </c>
      <c r="N45" s="320">
        <v>0</v>
      </c>
      <c r="O45" s="320">
        <v>0</v>
      </c>
      <c r="P45" s="320">
        <v>0</v>
      </c>
      <c r="Q45" s="320">
        <v>0</v>
      </c>
      <c r="R45" s="320">
        <v>0</v>
      </c>
      <c r="S45" s="794">
        <v>0</v>
      </c>
      <c r="T45" s="794">
        <v>0</v>
      </c>
    </row>
    <row r="46" spans="2:26">
      <c r="B46" s="749" t="s">
        <v>168</v>
      </c>
      <c r="C46" s="742" t="s">
        <v>808</v>
      </c>
      <c r="D46" s="803"/>
      <c r="E46" s="747"/>
      <c r="F46" s="747"/>
      <c r="G46" s="747"/>
      <c r="H46" s="747"/>
      <c r="I46" s="747">
        <v>12063.3545542335</v>
      </c>
      <c r="J46" s="747">
        <v>10389.4899333515</v>
      </c>
      <c r="K46" s="747">
        <v>8870.9426528595795</v>
      </c>
      <c r="L46" s="747">
        <v>8167.41707920513</v>
      </c>
      <c r="M46" s="747"/>
      <c r="N46" s="851"/>
      <c r="O46" s="852"/>
      <c r="P46" s="852"/>
      <c r="Q46" s="852">
        <v>341.91885094110899</v>
      </c>
      <c r="R46" s="852">
        <v>836.35162677182097</v>
      </c>
      <c r="S46" s="742">
        <v>899.04941657040899</v>
      </c>
      <c r="T46" s="742">
        <v>1419.9865821993501</v>
      </c>
    </row>
    <row r="47" spans="2:26">
      <c r="B47" s="321" t="s">
        <v>849</v>
      </c>
      <c r="C47" s="123" t="s">
        <v>808</v>
      </c>
      <c r="D47" s="803"/>
      <c r="E47" s="320"/>
      <c r="F47" s="320"/>
      <c r="G47" s="320"/>
      <c r="H47" s="320"/>
      <c r="I47" s="320"/>
      <c r="J47" s="320"/>
      <c r="K47" s="320"/>
      <c r="L47" s="320"/>
      <c r="M47" s="320"/>
      <c r="N47" s="687"/>
      <c r="O47" s="562"/>
      <c r="P47" s="562"/>
      <c r="Q47" s="562"/>
      <c r="R47" s="562"/>
      <c r="S47" s="805"/>
      <c r="T47" s="805"/>
    </row>
    <row r="48" spans="2:26">
      <c r="B48" s="321" t="s">
        <v>1044</v>
      </c>
      <c r="C48" s="123" t="s">
        <v>808</v>
      </c>
      <c r="D48" s="803"/>
      <c r="E48" s="320"/>
      <c r="F48" s="320"/>
      <c r="G48" s="320"/>
      <c r="H48" s="320"/>
      <c r="I48" s="320"/>
      <c r="J48" s="320"/>
      <c r="K48" s="320"/>
      <c r="L48" s="320"/>
      <c r="M48" s="320"/>
      <c r="N48" s="687"/>
      <c r="O48" s="562"/>
      <c r="P48" s="562"/>
      <c r="Q48" s="562"/>
      <c r="R48" s="562"/>
      <c r="S48" s="805"/>
      <c r="T48" s="805"/>
    </row>
    <row r="49" spans="2:28">
      <c r="B49" s="321" t="s">
        <v>1050</v>
      </c>
      <c r="C49" s="123" t="s">
        <v>808</v>
      </c>
      <c r="D49" s="803"/>
      <c r="E49" s="320"/>
      <c r="F49" s="320"/>
      <c r="G49" s="320"/>
      <c r="H49" s="320"/>
      <c r="I49" s="320"/>
      <c r="J49" s="320"/>
      <c r="K49" s="320"/>
      <c r="L49" s="320"/>
      <c r="M49" s="320"/>
      <c r="N49" s="687"/>
      <c r="O49" s="562"/>
      <c r="P49" s="562"/>
      <c r="Q49" s="562"/>
      <c r="R49" s="562"/>
      <c r="S49" s="805"/>
      <c r="T49" s="805"/>
    </row>
    <row r="50" spans="2:28">
      <c r="B50" s="123"/>
      <c r="C50" s="123"/>
      <c r="E50" s="123"/>
      <c r="F50" s="123"/>
      <c r="G50" s="123"/>
      <c r="H50" s="123"/>
      <c r="I50" s="123"/>
      <c r="J50" s="123"/>
      <c r="K50" s="123"/>
      <c r="L50" s="123"/>
      <c r="M50" s="123"/>
      <c r="N50" s="714"/>
      <c r="O50" s="605"/>
      <c r="P50" s="605"/>
      <c r="Q50" s="605"/>
      <c r="R50" s="605"/>
      <c r="S50" s="805"/>
      <c r="T50" s="805"/>
    </row>
    <row r="51" spans="2:28">
      <c r="B51" s="322" t="s">
        <v>805</v>
      </c>
      <c r="C51" s="123"/>
      <c r="E51" s="123"/>
      <c r="F51" s="123"/>
      <c r="G51" s="123"/>
      <c r="H51" s="123"/>
      <c r="I51" s="123"/>
      <c r="J51" s="123"/>
      <c r="K51" s="123"/>
      <c r="L51" s="123"/>
      <c r="M51" s="123"/>
      <c r="N51" s="714"/>
      <c r="O51" s="605"/>
      <c r="P51" s="605"/>
      <c r="Q51" s="605"/>
      <c r="R51" s="605"/>
      <c r="S51" s="805"/>
      <c r="T51" s="805"/>
    </row>
    <row r="52" spans="2:28">
      <c r="B52" s="321" t="s">
        <v>587</v>
      </c>
      <c r="C52" s="123"/>
      <c r="D52" s="883">
        <v>0.32900000000000001</v>
      </c>
      <c r="E52" s="323">
        <f t="shared" ref="E52:I52" si="4">E40/E36</f>
        <v>0.78443637230647312</v>
      </c>
      <c r="F52" s="323">
        <f t="shared" si="4"/>
        <v>0.72162120727041434</v>
      </c>
      <c r="G52" s="323">
        <f t="shared" si="4"/>
        <v>0.67753199436244271</v>
      </c>
      <c r="H52" s="323">
        <f t="shared" si="4"/>
        <v>0.60494084868645093</v>
      </c>
      <c r="I52" s="323">
        <f t="shared" si="4"/>
        <v>0.78443637230647312</v>
      </c>
      <c r="J52" s="323">
        <f t="shared" ref="J52:M52" si="5">J40/J36</f>
        <v>0.72162120727041434</v>
      </c>
      <c r="K52" s="323">
        <f t="shared" si="5"/>
        <v>0.67753199436244271</v>
      </c>
      <c r="L52" s="323">
        <f t="shared" si="5"/>
        <v>0.60494084868645093</v>
      </c>
      <c r="M52" s="323">
        <f t="shared" si="5"/>
        <v>0.78437445010293627</v>
      </c>
      <c r="N52" s="323">
        <f t="shared" ref="N52:T52" si="6">N40/N36</f>
        <v>0.72137999179183121</v>
      </c>
      <c r="O52" s="323">
        <f t="shared" si="6"/>
        <v>0.67749101996083738</v>
      </c>
      <c r="P52" s="323">
        <f t="shared" si="6"/>
        <v>0.61420101040607133</v>
      </c>
      <c r="Q52" s="323">
        <f t="shared" si="6"/>
        <v>0.78437445010293627</v>
      </c>
      <c r="R52" s="323">
        <f t="shared" si="6"/>
        <v>0.72137999179183121</v>
      </c>
      <c r="S52" s="323">
        <f t="shared" si="6"/>
        <v>0.67749101996083738</v>
      </c>
      <c r="T52" s="323">
        <f t="shared" si="6"/>
        <v>0.61420101040607133</v>
      </c>
    </row>
    <row r="53" spans="2:28">
      <c r="B53" s="321" t="s">
        <v>1069</v>
      </c>
      <c r="C53" s="123"/>
      <c r="D53" s="883">
        <v>0.49799999999999994</v>
      </c>
      <c r="E53" s="323">
        <f t="shared" ref="E53:M53" si="7">(E42+E43+E44)/E36</f>
        <v>0.16591609885913763</v>
      </c>
      <c r="F53" s="323">
        <f t="shared" si="7"/>
        <v>0.185482838640704</v>
      </c>
      <c r="G53" s="323">
        <f t="shared" si="7"/>
        <v>0.22432370158722414</v>
      </c>
      <c r="H53" s="323">
        <f t="shared" si="7"/>
        <v>0.25241975142900142</v>
      </c>
      <c r="I53" s="323">
        <f t="shared" si="7"/>
        <v>0.16591609885913763</v>
      </c>
      <c r="J53" s="323">
        <f t="shared" si="7"/>
        <v>0.185482838640704</v>
      </c>
      <c r="K53" s="323">
        <f t="shared" si="7"/>
        <v>0.22432370158722414</v>
      </c>
      <c r="L53" s="323">
        <f t="shared" si="7"/>
        <v>0.25241975142900142</v>
      </c>
      <c r="M53" s="323">
        <f t="shared" si="7"/>
        <v>0.16590277421547001</v>
      </c>
      <c r="N53" s="323">
        <f t="shared" ref="N53:T53" si="8">(N42+N43+N44)/N36</f>
        <v>0.18541661178452734</v>
      </c>
      <c r="O53" s="323">
        <f t="shared" si="8"/>
        <v>0.22430731236142984</v>
      </c>
      <c r="P53" s="323">
        <f t="shared" si="8"/>
        <v>0.27472341382924687</v>
      </c>
      <c r="Q53" s="323">
        <f t="shared" si="8"/>
        <v>0.16590277421547001</v>
      </c>
      <c r="R53" s="323">
        <f t="shared" si="8"/>
        <v>0.18541661178452734</v>
      </c>
      <c r="S53" s="323">
        <f t="shared" si="8"/>
        <v>0.22430731236142984</v>
      </c>
      <c r="T53" s="323">
        <f t="shared" si="8"/>
        <v>0.27472341382924687</v>
      </c>
    </row>
    <row r="54" spans="2:28">
      <c r="B54" s="321" t="s">
        <v>618</v>
      </c>
      <c r="C54" s="123"/>
      <c r="D54" s="883">
        <f t="shared" ref="D54:I54" si="9">SUM(D52:D53)</f>
        <v>0.82699999999999996</v>
      </c>
      <c r="E54" s="323">
        <f t="shared" si="9"/>
        <v>0.95035247116561072</v>
      </c>
      <c r="F54" s="323">
        <f t="shared" si="9"/>
        <v>0.90710404591111837</v>
      </c>
      <c r="G54" s="323">
        <f>SUM(G52:G53)</f>
        <v>0.90185569594966686</v>
      </c>
      <c r="H54" s="323">
        <f t="shared" si="9"/>
        <v>0.85736060011545234</v>
      </c>
      <c r="I54" s="323">
        <f t="shared" si="9"/>
        <v>0.95035247116561072</v>
      </c>
      <c r="J54" s="323">
        <f t="shared" ref="J54:K54" si="10">SUM(J52:J53)</f>
        <v>0.90710404591111837</v>
      </c>
      <c r="K54" s="323">
        <f t="shared" si="10"/>
        <v>0.90185569594966686</v>
      </c>
      <c r="L54" s="323">
        <f>SUM(L52:L53)</f>
        <v>0.85736060011545234</v>
      </c>
      <c r="M54" s="323">
        <f t="shared" ref="M54:T54" si="11">SUM(M52:M53)</f>
        <v>0.95027722431840633</v>
      </c>
      <c r="N54" s="323">
        <f t="shared" si="11"/>
        <v>0.90679660357635861</v>
      </c>
      <c r="O54" s="323">
        <f t="shared" si="11"/>
        <v>0.90179833232226725</v>
      </c>
      <c r="P54" s="323">
        <f t="shared" si="11"/>
        <v>0.88892442423531826</v>
      </c>
      <c r="Q54" s="323">
        <f t="shared" si="11"/>
        <v>0.95027722431840633</v>
      </c>
      <c r="R54" s="323">
        <f t="shared" si="11"/>
        <v>0.90679660357635861</v>
      </c>
      <c r="S54" s="323">
        <f t="shared" si="11"/>
        <v>0.90179833232226725</v>
      </c>
      <c r="T54" s="323">
        <f t="shared" si="11"/>
        <v>0.88892442423531826</v>
      </c>
    </row>
    <row r="55" spans="2:28">
      <c r="B55" s="281"/>
      <c r="C55" s="82"/>
      <c r="D55" s="791"/>
      <c r="E55" s="82"/>
      <c r="F55" s="82"/>
      <c r="G55" s="82"/>
      <c r="H55" s="82"/>
      <c r="I55" s="82"/>
      <c r="J55" s="715"/>
      <c r="K55" s="715"/>
      <c r="L55" s="715"/>
      <c r="M55" s="715"/>
      <c r="N55" s="715"/>
      <c r="O55" s="543"/>
      <c r="P55" s="543"/>
      <c r="Q55" s="543"/>
      <c r="R55" s="543"/>
    </row>
    <row r="56" spans="2:28">
      <c r="B56" s="281"/>
      <c r="C56" s="82"/>
      <c r="D56" s="791"/>
      <c r="E56" s="82"/>
      <c r="F56" s="82"/>
      <c r="G56" s="82"/>
      <c r="H56" s="82"/>
      <c r="I56" s="82"/>
      <c r="J56" s="715"/>
      <c r="K56" s="715"/>
      <c r="L56" s="715"/>
      <c r="M56" s="715"/>
      <c r="N56" s="715"/>
      <c r="O56" s="543"/>
      <c r="P56" s="543"/>
      <c r="Q56" s="543"/>
      <c r="R56" s="543"/>
    </row>
    <row r="57" spans="2:28" ht="20.25">
      <c r="B57" s="335" t="s">
        <v>811</v>
      </c>
      <c r="C57" s="336"/>
      <c r="E57" s="336"/>
      <c r="F57" s="336"/>
      <c r="G57" s="336"/>
      <c r="H57" s="336"/>
      <c r="I57" s="82"/>
      <c r="J57" s="715"/>
      <c r="K57" s="715"/>
      <c r="L57" s="715"/>
      <c r="M57" s="715"/>
      <c r="N57" s="715"/>
      <c r="O57" s="543"/>
      <c r="P57" s="543"/>
      <c r="Q57" s="543"/>
      <c r="R57" s="543"/>
    </row>
    <row r="58" spans="2:28">
      <c r="B58" s="84"/>
      <c r="C58" s="84"/>
      <c r="D58" s="790" t="s">
        <v>773</v>
      </c>
      <c r="E58" s="315" t="s">
        <v>1147</v>
      </c>
      <c r="F58" s="315" t="s">
        <v>1148</v>
      </c>
      <c r="G58" s="315" t="s">
        <v>1149</v>
      </c>
      <c r="H58" s="315" t="s">
        <v>1150</v>
      </c>
      <c r="I58" s="841" t="s">
        <v>1164</v>
      </c>
      <c r="J58" s="842" t="s">
        <v>1166</v>
      </c>
      <c r="K58" s="842" t="s">
        <v>1167</v>
      </c>
      <c r="L58" s="842" t="s">
        <v>1168</v>
      </c>
      <c r="M58" s="843" t="s">
        <v>1172</v>
      </c>
      <c r="N58" s="843" t="s">
        <v>1174</v>
      </c>
      <c r="O58" s="844" t="s">
        <v>1176</v>
      </c>
      <c r="P58" s="844" t="s">
        <v>1178</v>
      </c>
      <c r="Q58" s="845" t="s">
        <v>1180</v>
      </c>
      <c r="R58" s="845" t="s">
        <v>1182</v>
      </c>
      <c r="S58" s="845" t="s">
        <v>1184</v>
      </c>
      <c r="T58" s="845" t="s">
        <v>1186</v>
      </c>
    </row>
    <row r="59" spans="2:28">
      <c r="B59" s="87" t="s">
        <v>772</v>
      </c>
      <c r="C59" s="84"/>
      <c r="D59" s="882">
        <v>4.4400000000000004</v>
      </c>
      <c r="E59" s="854">
        <v>4.5599999999999996</v>
      </c>
      <c r="F59" s="854">
        <v>3.44</v>
      </c>
      <c r="G59" s="854">
        <v>2.33</v>
      </c>
      <c r="H59" s="854">
        <v>1.22</v>
      </c>
      <c r="I59" s="855">
        <v>4.5599999999999996</v>
      </c>
      <c r="J59" s="855">
        <v>3.44</v>
      </c>
      <c r="K59" s="855">
        <v>2.33</v>
      </c>
      <c r="L59" s="855">
        <v>1.22</v>
      </c>
      <c r="M59" s="855">
        <v>4.5599999999999996</v>
      </c>
      <c r="N59" s="855">
        <v>3.44</v>
      </c>
      <c r="O59" s="856">
        <v>2.33</v>
      </c>
      <c r="P59" s="856">
        <v>1.22</v>
      </c>
      <c r="Q59" s="856">
        <v>4.5599999999999996</v>
      </c>
      <c r="R59" s="856">
        <v>3.44</v>
      </c>
      <c r="S59" s="854">
        <v>2.33</v>
      </c>
      <c r="T59" s="854">
        <v>1.22</v>
      </c>
    </row>
    <row r="60" spans="2:28">
      <c r="B60" s="87" t="s">
        <v>771</v>
      </c>
      <c r="C60" s="84"/>
      <c r="D60" s="803">
        <f t="shared" ref="D60:T60" si="12">SUM(D61:D62)</f>
        <v>3257911.0805472001</v>
      </c>
      <c r="E60" s="324">
        <f t="shared" si="12"/>
        <v>6604594.7287809867</v>
      </c>
      <c r="F60" s="324">
        <f t="shared" si="12"/>
        <v>5833541.8342643287</v>
      </c>
      <c r="G60" s="324">
        <f t="shared" si="12"/>
        <v>5391373.2886048425</v>
      </c>
      <c r="H60" s="324">
        <f t="shared" si="12"/>
        <v>5109275.3451703191</v>
      </c>
      <c r="I60" s="324">
        <f t="shared" si="12"/>
        <v>6604594.7287809867</v>
      </c>
      <c r="J60" s="324">
        <f t="shared" si="12"/>
        <v>5833541.8342643287</v>
      </c>
      <c r="K60" s="324">
        <f t="shared" si="12"/>
        <v>5391373.2886048425</v>
      </c>
      <c r="L60" s="324">
        <f t="shared" si="12"/>
        <v>5109275.3451703191</v>
      </c>
      <c r="M60" s="324">
        <f t="shared" si="12"/>
        <v>3257911.0805472001</v>
      </c>
      <c r="N60" s="324">
        <f t="shared" si="12"/>
        <v>3257911.0805472001</v>
      </c>
      <c r="O60" s="569">
        <f t="shared" si="12"/>
        <v>3257911.0805472001</v>
      </c>
      <c r="P60" s="569">
        <f t="shared" si="12"/>
        <v>3257911.0805472001</v>
      </c>
      <c r="Q60" s="569">
        <f t="shared" si="12"/>
        <v>3257911.0805472001</v>
      </c>
      <c r="R60" s="569">
        <f t="shared" si="12"/>
        <v>3257911.0805472001</v>
      </c>
      <c r="S60" s="569">
        <f t="shared" si="12"/>
        <v>3257911.0805472001</v>
      </c>
      <c r="T60" s="569">
        <f t="shared" si="12"/>
        <v>3257911.0805472001</v>
      </c>
    </row>
    <row r="61" spans="2:28">
      <c r="B61" s="328" t="s">
        <v>851</v>
      </c>
      <c r="C61" s="84" t="s">
        <v>657</v>
      </c>
      <c r="D61" s="803">
        <v>3257911.0805472001</v>
      </c>
      <c r="E61" s="324">
        <f t="shared" ref="E61:G62" si="13">E6*15.4</f>
        <v>3257911.0805472001</v>
      </c>
      <c r="F61" s="324">
        <f t="shared" si="13"/>
        <v>3257911.0805472001</v>
      </c>
      <c r="G61" s="324">
        <f t="shared" si="13"/>
        <v>3257911.0805472001</v>
      </c>
      <c r="H61" s="324">
        <v>3257911.0805472001</v>
      </c>
      <c r="I61" s="324">
        <f>I6*15.4</f>
        <v>3257911.0805472001</v>
      </c>
      <c r="J61" s="324">
        <f t="shared" ref="J61:T61" si="14">J6*15.4</f>
        <v>3257911.0805472001</v>
      </c>
      <c r="K61" s="324">
        <f t="shared" si="14"/>
        <v>3257911.0805472001</v>
      </c>
      <c r="L61" s="324">
        <f t="shared" si="14"/>
        <v>3257911.0805472001</v>
      </c>
      <c r="M61" s="324">
        <f t="shared" si="14"/>
        <v>3257911.0805472001</v>
      </c>
      <c r="N61" s="324">
        <f t="shared" si="14"/>
        <v>3257911.0805472001</v>
      </c>
      <c r="O61" s="324">
        <f t="shared" si="14"/>
        <v>3257911.0805472001</v>
      </c>
      <c r="P61" s="324">
        <f t="shared" si="14"/>
        <v>3257911.0805472001</v>
      </c>
      <c r="Q61" s="324">
        <f t="shared" si="14"/>
        <v>3257911.0805472001</v>
      </c>
      <c r="R61" s="324">
        <f t="shared" si="14"/>
        <v>3257911.0805472001</v>
      </c>
      <c r="S61" s="324">
        <f t="shared" si="14"/>
        <v>3257911.0805472001</v>
      </c>
      <c r="T61" s="324">
        <f t="shared" si="14"/>
        <v>3257911.0805472001</v>
      </c>
      <c r="U61" s="82">
        <f>H6*15.4*8000*0.003412</f>
        <v>88927940.854616374</v>
      </c>
      <c r="V61" s="82" t="s">
        <v>910</v>
      </c>
      <c r="Y61">
        <v>0.78443637230647312</v>
      </c>
      <c r="Z61">
        <v>0.72162120727041434</v>
      </c>
      <c r="AA61">
        <v>0.67753199436244271</v>
      </c>
      <c r="AB61">
        <v>0.60494084868645093</v>
      </c>
    </row>
    <row r="62" spans="2:28">
      <c r="B62" s="328" t="s">
        <v>852</v>
      </c>
      <c r="C62" s="84" t="s">
        <v>657</v>
      </c>
      <c r="D62" s="803"/>
      <c r="E62" s="324">
        <f t="shared" si="13"/>
        <v>3346683.6482337872</v>
      </c>
      <c r="F62" s="324">
        <f t="shared" si="13"/>
        <v>2575630.7537171291</v>
      </c>
      <c r="G62" s="324">
        <f t="shared" si="13"/>
        <v>2133462.208057642</v>
      </c>
      <c r="H62" s="324">
        <f>H7*15.4</f>
        <v>1851364.2646231195</v>
      </c>
      <c r="I62" s="324">
        <f>I7*15.4</f>
        <v>3346683.6482337872</v>
      </c>
      <c r="J62" s="324">
        <f>J7*15.4</f>
        <v>2575630.7537171291</v>
      </c>
      <c r="K62" s="324">
        <f t="shared" ref="K62:T62" si="15">K7*15.4</f>
        <v>2133462.208057642</v>
      </c>
      <c r="L62" s="324">
        <f t="shared" si="15"/>
        <v>1851364.2646231195</v>
      </c>
      <c r="M62" s="324">
        <f t="shared" si="15"/>
        <v>0</v>
      </c>
      <c r="N62" s="324">
        <f t="shared" si="15"/>
        <v>0</v>
      </c>
      <c r="O62" s="324">
        <f t="shared" si="15"/>
        <v>0</v>
      </c>
      <c r="P62" s="324">
        <f t="shared" si="15"/>
        <v>0</v>
      </c>
      <c r="Q62" s="324">
        <f t="shared" si="15"/>
        <v>0</v>
      </c>
      <c r="R62" s="324">
        <f t="shared" si="15"/>
        <v>0</v>
      </c>
      <c r="S62" s="324">
        <f t="shared" si="15"/>
        <v>0</v>
      </c>
      <c r="T62" s="324">
        <f t="shared" si="15"/>
        <v>0</v>
      </c>
      <c r="U62" s="82">
        <f>H7*15.4*8000*0.003412</f>
        <v>50534838.967152677</v>
      </c>
      <c r="V62" s="82" t="s">
        <v>911</v>
      </c>
      <c r="W62" s="44">
        <v>40021333.119136602</v>
      </c>
      <c r="Y62">
        <v>0.16591609885913763</v>
      </c>
      <c r="Z62">
        <v>0.185482838640704</v>
      </c>
      <c r="AA62">
        <v>0.22432370158722414</v>
      </c>
      <c r="AB62">
        <v>0.25241975142900142</v>
      </c>
    </row>
    <row r="63" spans="2:28" ht="20.25">
      <c r="B63" s="324"/>
      <c r="C63" s="84"/>
      <c r="D63" s="803"/>
      <c r="E63" s="324"/>
      <c r="F63" s="324"/>
      <c r="G63" s="331"/>
      <c r="H63" s="324"/>
      <c r="I63" s="324"/>
      <c r="J63" s="716"/>
      <c r="K63" s="716"/>
      <c r="L63" s="716"/>
      <c r="M63" s="716"/>
      <c r="N63" s="716"/>
      <c r="O63" s="570"/>
      <c r="P63" s="570"/>
      <c r="Q63" s="570"/>
      <c r="R63" s="570"/>
      <c r="S63" s="570"/>
      <c r="T63" s="570"/>
      <c r="U63" s="494" t="s">
        <v>803</v>
      </c>
      <c r="V63" s="494" t="s">
        <v>802</v>
      </c>
      <c r="W63" s="494" t="s">
        <v>804</v>
      </c>
    </row>
    <row r="64" spans="2:28">
      <c r="B64" s="325" t="s">
        <v>662</v>
      </c>
      <c r="C64" s="84" t="s">
        <v>657</v>
      </c>
      <c r="D64" s="803"/>
      <c r="E64" s="324">
        <f>SUM(E66:E72)</f>
        <v>1208555.95</v>
      </c>
      <c r="F64" s="324">
        <f t="shared" ref="F64:H64" si="16">SUM(F66:F72)</f>
        <v>875111.28500000003</v>
      </c>
      <c r="G64" s="324">
        <f t="shared" si="16"/>
        <v>685190.8</v>
      </c>
      <c r="H64" s="324">
        <f t="shared" si="16"/>
        <v>556951.16957000003</v>
      </c>
      <c r="I64" s="324">
        <f>SUM(I66:I72)</f>
        <v>2317974.2588390908</v>
      </c>
      <c r="J64" s="324">
        <f t="shared" ref="J64:T64" si="17">SUM(J66:J72)</f>
        <v>1794706.553367787</v>
      </c>
      <c r="K64" s="324">
        <f t="shared" si="17"/>
        <v>1437208.023016125</v>
      </c>
      <c r="L64" s="324">
        <f t="shared" si="17"/>
        <v>1194488.5264672393</v>
      </c>
      <c r="M64" s="324">
        <f t="shared" si="17"/>
        <v>3416775.128082192</v>
      </c>
      <c r="N64" s="324">
        <f t="shared" si="17"/>
        <v>2592006.2621689499</v>
      </c>
      <c r="O64" s="324">
        <f t="shared" si="17"/>
        <v>2092496.7360730593</v>
      </c>
      <c r="P64" s="324">
        <f t="shared" si="17"/>
        <v>1777955.7357800454</v>
      </c>
      <c r="Q64" s="324">
        <f t="shared" si="17"/>
        <v>3448283.6035519219</v>
      </c>
      <c r="R64" s="324">
        <f t="shared" si="17"/>
        <v>2662859.8099948717</v>
      </c>
      <c r="S64" s="324">
        <f t="shared" si="17"/>
        <v>2164894.8012572797</v>
      </c>
      <c r="T64" s="324">
        <f t="shared" si="17"/>
        <v>1953139.6495778123</v>
      </c>
      <c r="U64" s="84" t="s">
        <v>131</v>
      </c>
      <c r="V64" s="84">
        <v>55.5</v>
      </c>
      <c r="W64" s="92">
        <f t="shared" ref="W64:W73" si="18">V64/3.6</f>
        <v>15.416666666666666</v>
      </c>
      <c r="Y64">
        <v>0.78443637230647312</v>
      </c>
      <c r="Z64">
        <v>0.16591609885913763</v>
      </c>
      <c r="AA64">
        <f>Y64*100</f>
        <v>78.443637230647312</v>
      </c>
      <c r="AB64">
        <f>Z64*100</f>
        <v>16.591609885913762</v>
      </c>
    </row>
    <row r="65" spans="2:28">
      <c r="B65" s="326" t="s">
        <v>782</v>
      </c>
      <c r="C65" s="84" t="s">
        <v>783</v>
      </c>
      <c r="D65" s="803"/>
      <c r="E65" s="324">
        <f t="shared" ref="E65:T69" si="19">E10</f>
        <v>276952</v>
      </c>
      <c r="F65" s="324">
        <f t="shared" si="19"/>
        <v>194306.1</v>
      </c>
      <c r="G65" s="324">
        <f t="shared" si="19"/>
        <v>61413.7</v>
      </c>
      <c r="H65" s="324">
        <f t="shared" si="19"/>
        <v>129859.29999999999</v>
      </c>
      <c r="I65" s="324">
        <f t="shared" si="19"/>
        <v>438472.11</v>
      </c>
      <c r="J65" s="324">
        <f t="shared" si="19"/>
        <v>339963.64999999997</v>
      </c>
      <c r="K65" s="324">
        <f t="shared" si="19"/>
        <v>180775.03999999998</v>
      </c>
      <c r="L65" s="324">
        <f t="shared" si="19"/>
        <v>236478.38</v>
      </c>
      <c r="M65" s="324">
        <f t="shared" si="19"/>
        <v>276952</v>
      </c>
      <c r="N65" s="324">
        <f t="shared" si="19"/>
        <v>194306.1</v>
      </c>
      <c r="O65" s="324">
        <f t="shared" si="19"/>
        <v>61413.7</v>
      </c>
      <c r="P65" s="324">
        <f t="shared" si="19"/>
        <v>129859.29999999999</v>
      </c>
      <c r="Q65" s="324">
        <f t="shared" si="19"/>
        <v>279960.02049999998</v>
      </c>
      <c r="R65" s="324">
        <f t="shared" si="19"/>
        <v>201731.47756</v>
      </c>
      <c r="S65" s="324">
        <f t="shared" si="19"/>
        <v>69354.823399999994</v>
      </c>
      <c r="T65" s="324">
        <f t="shared" si="19"/>
        <v>142032.07119999998</v>
      </c>
      <c r="U65" s="84" t="s">
        <v>132</v>
      </c>
      <c r="V65" s="84">
        <v>141.69999999999999</v>
      </c>
      <c r="W65" s="92">
        <f t="shared" si="18"/>
        <v>39.361111111111107</v>
      </c>
      <c r="Y65">
        <v>0.72162120727041434</v>
      </c>
      <c r="Z65">
        <v>0.185482838640704</v>
      </c>
      <c r="AA65">
        <f t="shared" ref="AA65:AB67" si="20">Y65*100</f>
        <v>72.16212072704144</v>
      </c>
      <c r="AB65">
        <f t="shared" si="20"/>
        <v>18.548283864070399</v>
      </c>
    </row>
    <row r="66" spans="2:28">
      <c r="B66" s="326" t="s">
        <v>183</v>
      </c>
      <c r="C66" s="84"/>
      <c r="D66" s="803"/>
      <c r="E66" s="324">
        <f t="shared" si="19"/>
        <v>969998</v>
      </c>
      <c r="F66" s="324">
        <f t="shared" si="19"/>
        <v>705579</v>
      </c>
      <c r="G66" s="324">
        <f t="shared" si="19"/>
        <v>511184</v>
      </c>
      <c r="H66" s="324">
        <f t="shared" si="19"/>
        <v>386920</v>
      </c>
      <c r="I66" s="324">
        <f t="shared" si="19"/>
        <v>1029961.338</v>
      </c>
      <c r="J66" s="324">
        <f t="shared" si="19"/>
        <v>759523.39300000004</v>
      </c>
      <c r="K66" s="324">
        <f t="shared" si="19"/>
        <v>557152.34200000006</v>
      </c>
      <c r="L66" s="324">
        <f t="shared" si="19"/>
        <v>429367.08600000001</v>
      </c>
      <c r="M66" s="324">
        <f t="shared" si="19"/>
        <v>3178217.1780821919</v>
      </c>
      <c r="N66" s="324">
        <f t="shared" si="19"/>
        <v>2422473.9771689498</v>
      </c>
      <c r="O66" s="324">
        <f t="shared" si="19"/>
        <v>1918489.9360730592</v>
      </c>
      <c r="P66" s="324">
        <f t="shared" si="19"/>
        <v>1607924.5662100455</v>
      </c>
      <c r="Q66" s="324">
        <f t="shared" si="19"/>
        <v>3179994.4716521921</v>
      </c>
      <c r="R66" s="324">
        <f t="shared" si="19"/>
        <v>2426821.7534689498</v>
      </c>
      <c r="S66" s="324">
        <f t="shared" si="19"/>
        <v>1923163.3984730593</v>
      </c>
      <c r="T66" s="324">
        <f t="shared" si="19"/>
        <v>1615304.6223100454</v>
      </c>
      <c r="U66" s="84" t="s">
        <v>133</v>
      </c>
      <c r="V66" s="84">
        <v>51.9</v>
      </c>
      <c r="W66" s="92">
        <f t="shared" si="18"/>
        <v>14.416666666666666</v>
      </c>
      <c r="Y66">
        <v>0.67753199436244271</v>
      </c>
      <c r="Z66">
        <v>0.22432370158722414</v>
      </c>
      <c r="AA66">
        <f t="shared" si="20"/>
        <v>67.753199436244273</v>
      </c>
      <c r="AB66">
        <f t="shared" si="20"/>
        <v>22.432370158722414</v>
      </c>
    </row>
    <row r="67" spans="2:28">
      <c r="B67" s="326" t="s">
        <v>921</v>
      </c>
      <c r="C67" s="84"/>
      <c r="D67" s="803"/>
      <c r="E67" s="324">
        <f t="shared" si="19"/>
        <v>0</v>
      </c>
      <c r="F67" s="324">
        <f t="shared" si="19"/>
        <v>0</v>
      </c>
      <c r="G67" s="324">
        <f t="shared" si="19"/>
        <v>0</v>
      </c>
      <c r="H67" s="324">
        <f t="shared" si="19"/>
        <v>0</v>
      </c>
      <c r="I67" s="324">
        <f t="shared" si="19"/>
        <v>0</v>
      </c>
      <c r="J67" s="324">
        <f t="shared" si="19"/>
        <v>0</v>
      </c>
      <c r="K67" s="324">
        <f t="shared" si="19"/>
        <v>0</v>
      </c>
      <c r="L67" s="324">
        <f t="shared" si="19"/>
        <v>0</v>
      </c>
      <c r="M67" s="324">
        <f t="shared" si="19"/>
        <v>0</v>
      </c>
      <c r="N67" s="324">
        <f t="shared" si="19"/>
        <v>0</v>
      </c>
      <c r="O67" s="324">
        <f t="shared" si="19"/>
        <v>0</v>
      </c>
      <c r="P67" s="324">
        <f t="shared" si="19"/>
        <v>0</v>
      </c>
      <c r="Q67" s="324">
        <f t="shared" si="19"/>
        <v>0</v>
      </c>
      <c r="R67" s="324">
        <f t="shared" si="19"/>
        <v>0</v>
      </c>
      <c r="S67" s="324">
        <f t="shared" si="19"/>
        <v>0</v>
      </c>
      <c r="T67" s="324">
        <f t="shared" si="19"/>
        <v>0</v>
      </c>
      <c r="U67" s="84" t="s">
        <v>134</v>
      </c>
      <c r="V67" s="84">
        <v>50.3</v>
      </c>
      <c r="W67" s="92">
        <f t="shared" si="18"/>
        <v>13.972222222222221</v>
      </c>
      <c r="Y67">
        <v>0.60494084868645093</v>
      </c>
      <c r="Z67">
        <v>0.25241975142900142</v>
      </c>
      <c r="AA67">
        <f t="shared" si="20"/>
        <v>60.494084868645089</v>
      </c>
      <c r="AB67">
        <f t="shared" si="20"/>
        <v>25.241975142900142</v>
      </c>
    </row>
    <row r="68" spans="2:28">
      <c r="B68" s="326" t="s">
        <v>1068</v>
      </c>
      <c r="C68" s="84" t="s">
        <v>657</v>
      </c>
      <c r="D68" s="803"/>
      <c r="E68" s="324">
        <f t="shared" si="19"/>
        <v>0</v>
      </c>
      <c r="F68" s="324">
        <f t="shared" si="19"/>
        <v>0</v>
      </c>
      <c r="G68" s="324">
        <f t="shared" si="19"/>
        <v>0</v>
      </c>
      <c r="H68" s="324">
        <f t="shared" si="19"/>
        <v>0</v>
      </c>
      <c r="I68" s="324">
        <f t="shared" si="19"/>
        <v>0</v>
      </c>
      <c r="J68" s="324">
        <f t="shared" si="19"/>
        <v>0</v>
      </c>
      <c r="K68" s="324">
        <f t="shared" si="19"/>
        <v>0</v>
      </c>
      <c r="L68" s="324">
        <f t="shared" si="19"/>
        <v>0</v>
      </c>
      <c r="M68" s="324">
        <f t="shared" si="19"/>
        <v>0</v>
      </c>
      <c r="N68" s="324">
        <f t="shared" si="19"/>
        <v>0</v>
      </c>
      <c r="O68" s="324">
        <f t="shared" si="19"/>
        <v>0</v>
      </c>
      <c r="P68" s="324">
        <f t="shared" si="19"/>
        <v>0</v>
      </c>
      <c r="Q68" s="324">
        <f t="shared" si="19"/>
        <v>0</v>
      </c>
      <c r="R68" s="324">
        <f t="shared" si="19"/>
        <v>0</v>
      </c>
      <c r="S68" s="324">
        <f t="shared" si="19"/>
        <v>0</v>
      </c>
      <c r="T68" s="324">
        <f t="shared" si="19"/>
        <v>0</v>
      </c>
      <c r="U68" s="84" t="s">
        <v>135</v>
      </c>
      <c r="V68" s="84">
        <v>49.9</v>
      </c>
      <c r="W68" s="92">
        <f t="shared" si="18"/>
        <v>13.861111111111111</v>
      </c>
    </row>
    <row r="69" spans="2:28">
      <c r="B69" s="326" t="s">
        <v>187</v>
      </c>
      <c r="C69" s="84" t="s">
        <v>657</v>
      </c>
      <c r="D69" s="803"/>
      <c r="E69" s="324">
        <f t="shared" si="19"/>
        <v>0</v>
      </c>
      <c r="F69" s="324">
        <f t="shared" si="19"/>
        <v>0</v>
      </c>
      <c r="G69" s="324">
        <f t="shared" si="19"/>
        <v>0</v>
      </c>
      <c r="H69" s="324">
        <f t="shared" si="19"/>
        <v>0</v>
      </c>
      <c r="I69" s="324">
        <f t="shared" si="19"/>
        <v>0</v>
      </c>
      <c r="J69" s="324">
        <f t="shared" si="19"/>
        <v>0</v>
      </c>
      <c r="K69" s="324">
        <f t="shared" si="19"/>
        <v>0</v>
      </c>
      <c r="L69" s="324">
        <f t="shared" si="19"/>
        <v>0</v>
      </c>
      <c r="M69" s="324">
        <f t="shared" si="19"/>
        <v>0</v>
      </c>
      <c r="N69" s="324">
        <f t="shared" si="19"/>
        <v>0</v>
      </c>
      <c r="O69" s="324">
        <f t="shared" si="19"/>
        <v>0</v>
      </c>
      <c r="P69" s="324">
        <f t="shared" si="19"/>
        <v>0</v>
      </c>
      <c r="Q69" s="324">
        <f t="shared" si="19"/>
        <v>0</v>
      </c>
      <c r="R69" s="324">
        <f t="shared" si="19"/>
        <v>0</v>
      </c>
      <c r="S69" s="324">
        <f t="shared" si="19"/>
        <v>0</v>
      </c>
      <c r="T69" s="324">
        <f t="shared" si="19"/>
        <v>0</v>
      </c>
      <c r="U69" s="84" t="s">
        <v>136</v>
      </c>
      <c r="V69" s="84">
        <v>41.8</v>
      </c>
      <c r="W69" s="92">
        <f t="shared" si="18"/>
        <v>11.611111111111111</v>
      </c>
    </row>
    <row r="70" spans="2:28">
      <c r="B70" s="326" t="s">
        <v>784</v>
      </c>
      <c r="C70" s="84" t="s">
        <v>657</v>
      </c>
      <c r="D70" s="803"/>
      <c r="E70" s="324">
        <f t="shared" ref="E70:J70" si="21">E15*1000/0.78</f>
        <v>0</v>
      </c>
      <c r="F70" s="324">
        <f t="shared" si="21"/>
        <v>0</v>
      </c>
      <c r="G70" s="324">
        <f t="shared" si="21"/>
        <v>0</v>
      </c>
      <c r="H70" s="324">
        <f t="shared" si="21"/>
        <v>0</v>
      </c>
      <c r="I70" s="324">
        <f t="shared" si="21"/>
        <v>0</v>
      </c>
      <c r="J70" s="324">
        <f t="shared" si="21"/>
        <v>0</v>
      </c>
      <c r="K70" s="324">
        <f t="shared" ref="K70:T70" si="22">K15*1000/0.78</f>
        <v>0</v>
      </c>
      <c r="L70" s="324">
        <f t="shared" si="22"/>
        <v>0</v>
      </c>
      <c r="M70" s="324">
        <f t="shared" si="22"/>
        <v>0</v>
      </c>
      <c r="N70" s="324">
        <f t="shared" si="22"/>
        <v>0</v>
      </c>
      <c r="O70" s="324">
        <f t="shared" si="22"/>
        <v>0</v>
      </c>
      <c r="P70" s="324">
        <f t="shared" si="22"/>
        <v>0</v>
      </c>
      <c r="Q70" s="324">
        <f t="shared" si="22"/>
        <v>0</v>
      </c>
      <c r="R70" s="324">
        <f t="shared" si="22"/>
        <v>0</v>
      </c>
      <c r="S70" s="324">
        <f t="shared" si="22"/>
        <v>0</v>
      </c>
      <c r="T70" s="324">
        <f t="shared" si="22"/>
        <v>0</v>
      </c>
      <c r="U70" s="84" t="s">
        <v>137</v>
      </c>
      <c r="V70" s="92">
        <f>17303*2.326/1000</f>
        <v>40.246777999999999</v>
      </c>
      <c r="W70" s="92">
        <f t="shared" si="18"/>
        <v>11.179660555555555</v>
      </c>
    </row>
    <row r="71" spans="2:28">
      <c r="B71" s="326" t="s">
        <v>785</v>
      </c>
      <c r="C71" s="84" t="s">
        <v>657</v>
      </c>
      <c r="D71" s="803"/>
      <c r="E71" s="324">
        <f t="shared" ref="E71:J71" si="23">E16*1000/0.75</f>
        <v>0</v>
      </c>
      <c r="F71" s="324">
        <f t="shared" si="23"/>
        <v>0</v>
      </c>
      <c r="G71" s="324">
        <f t="shared" si="23"/>
        <v>0</v>
      </c>
      <c r="H71" s="324">
        <f t="shared" si="23"/>
        <v>0</v>
      </c>
      <c r="I71" s="324">
        <f t="shared" si="23"/>
        <v>1049454.9708390909</v>
      </c>
      <c r="J71" s="324">
        <f t="shared" si="23"/>
        <v>865650.87536778708</v>
      </c>
      <c r="K71" s="324">
        <f t="shared" ref="K71:T71" si="24">K16*1000/0.75</f>
        <v>706048.88101612485</v>
      </c>
      <c r="L71" s="324">
        <f t="shared" si="24"/>
        <v>595090.27089723933</v>
      </c>
      <c r="M71" s="324">
        <f t="shared" si="24"/>
        <v>0</v>
      </c>
      <c r="N71" s="324">
        <f t="shared" si="24"/>
        <v>0</v>
      </c>
      <c r="O71" s="324">
        <f t="shared" si="24"/>
        <v>0</v>
      </c>
      <c r="P71" s="324">
        <f t="shared" si="24"/>
        <v>0</v>
      </c>
      <c r="Q71" s="324">
        <f t="shared" si="24"/>
        <v>29731.181899729578</v>
      </c>
      <c r="R71" s="324">
        <f t="shared" si="24"/>
        <v>66505.771525921897</v>
      </c>
      <c r="S71" s="324">
        <f t="shared" si="24"/>
        <v>67724.602784220639</v>
      </c>
      <c r="T71" s="324">
        <f t="shared" si="24"/>
        <v>167803.85769776686</v>
      </c>
      <c r="U71" s="84" t="s">
        <v>91</v>
      </c>
      <c r="V71" s="92">
        <v>32.799999999999997</v>
      </c>
      <c r="W71" s="92">
        <f t="shared" si="18"/>
        <v>9.1111111111111107</v>
      </c>
    </row>
    <row r="72" spans="2:28">
      <c r="B72" s="326" t="s">
        <v>596</v>
      </c>
      <c r="C72" s="84" t="s">
        <v>657</v>
      </c>
      <c r="D72" s="803"/>
      <c r="E72" s="324">
        <f t="shared" ref="E72:J72" si="25">E17</f>
        <v>238557.95</v>
      </c>
      <c r="F72" s="324">
        <f t="shared" si="25"/>
        <v>169532.285</v>
      </c>
      <c r="G72" s="324">
        <f t="shared" si="25"/>
        <v>174006.8</v>
      </c>
      <c r="H72" s="324">
        <f t="shared" si="25"/>
        <v>170031.16957</v>
      </c>
      <c r="I72" s="324">
        <f t="shared" si="25"/>
        <v>238557.95</v>
      </c>
      <c r="J72" s="324">
        <f t="shared" si="25"/>
        <v>169532.285</v>
      </c>
      <c r="K72" s="324">
        <f t="shared" ref="K72:T72" si="26">K17</f>
        <v>174006.8</v>
      </c>
      <c r="L72" s="324">
        <f t="shared" si="26"/>
        <v>170031.16957</v>
      </c>
      <c r="M72" s="324">
        <f t="shared" si="26"/>
        <v>238557.95</v>
      </c>
      <c r="N72" s="324">
        <f t="shared" si="26"/>
        <v>169532.285</v>
      </c>
      <c r="O72" s="324">
        <f t="shared" si="26"/>
        <v>174006.8</v>
      </c>
      <c r="P72" s="324">
        <f t="shared" si="26"/>
        <v>170031.16957</v>
      </c>
      <c r="Q72" s="324">
        <f t="shared" si="26"/>
        <v>238557.95</v>
      </c>
      <c r="R72" s="324">
        <f t="shared" si="26"/>
        <v>169532.285</v>
      </c>
      <c r="S72" s="324">
        <f t="shared" si="26"/>
        <v>174006.8</v>
      </c>
      <c r="T72" s="324">
        <f t="shared" si="26"/>
        <v>170031.16957</v>
      </c>
      <c r="U72" s="495" t="s">
        <v>799</v>
      </c>
      <c r="V72" s="496">
        <v>45.75</v>
      </c>
      <c r="W72" s="92">
        <f t="shared" si="18"/>
        <v>12.708333333333332</v>
      </c>
    </row>
    <row r="73" spans="2:28">
      <c r="B73" s="324"/>
      <c r="C73" s="84"/>
      <c r="D73" s="803"/>
      <c r="E73" s="324"/>
      <c r="F73" s="324"/>
      <c r="G73" s="324"/>
      <c r="H73" s="324"/>
      <c r="I73" s="324"/>
      <c r="J73" s="716"/>
      <c r="K73" s="716"/>
      <c r="L73" s="716"/>
      <c r="M73" s="716"/>
      <c r="N73" s="716"/>
      <c r="O73" s="568"/>
      <c r="P73" s="568"/>
      <c r="Q73" s="568"/>
      <c r="R73" s="568"/>
      <c r="S73" s="568"/>
      <c r="T73" s="568"/>
      <c r="U73" s="84" t="s">
        <v>797</v>
      </c>
      <c r="V73" s="497">
        <v>40.588999999999999</v>
      </c>
      <c r="W73" s="92">
        <f t="shared" si="18"/>
        <v>11.274722222222222</v>
      </c>
    </row>
    <row r="74" spans="2:28">
      <c r="B74" s="87" t="s">
        <v>778</v>
      </c>
      <c r="C74" s="84"/>
      <c r="D74" s="803"/>
      <c r="E74" s="324"/>
      <c r="F74" s="324"/>
      <c r="G74" s="324"/>
      <c r="H74" s="324"/>
      <c r="I74" s="324"/>
      <c r="J74" s="716"/>
      <c r="K74" s="716"/>
      <c r="L74" s="716"/>
      <c r="M74" s="716"/>
      <c r="N74" s="716"/>
      <c r="O74" s="568"/>
      <c r="P74" s="568"/>
      <c r="Q74" s="568"/>
      <c r="R74" s="568"/>
      <c r="S74" s="568"/>
      <c r="T74" s="568"/>
      <c r="U74" s="84" t="s">
        <v>21</v>
      </c>
      <c r="V74">
        <v>0</v>
      </c>
      <c r="W74">
        <v>0</v>
      </c>
    </row>
    <row r="75" spans="2:28">
      <c r="B75" s="326" t="s">
        <v>622</v>
      </c>
      <c r="C75" s="84" t="s">
        <v>657</v>
      </c>
      <c r="D75" s="803"/>
      <c r="E75" s="324">
        <f t="shared" ref="E75:J75" si="27">E20*$W$67</f>
        <v>2027537.4259173358</v>
      </c>
      <c r="F75" s="324">
        <f t="shared" si="27"/>
        <v>1865118.1401029127</v>
      </c>
      <c r="G75" s="324">
        <f t="shared" si="27"/>
        <v>1751157.5591205521</v>
      </c>
      <c r="H75" s="324">
        <f t="shared" si="27"/>
        <v>1563190.477093173</v>
      </c>
      <c r="I75" s="324">
        <f t="shared" si="27"/>
        <v>2027537.4259173358</v>
      </c>
      <c r="J75" s="324">
        <f t="shared" si="27"/>
        <v>1865118.1401029127</v>
      </c>
      <c r="K75" s="324">
        <f t="shared" ref="K75:N75" si="28">K20*$W$67</f>
        <v>1751157.5591205521</v>
      </c>
      <c r="L75" s="324">
        <f t="shared" si="28"/>
        <v>1563190.477093173</v>
      </c>
      <c r="M75" s="324">
        <f t="shared" si="28"/>
        <v>2027377.3685423264</v>
      </c>
      <c r="N75" s="324">
        <f t="shared" si="28"/>
        <v>1864494.6655563358</v>
      </c>
      <c r="O75" s="324">
        <f t="shared" ref="O75:T75" si="29">O20*$W$67</f>
        <v>1751051.650831331</v>
      </c>
      <c r="P75" s="324">
        <f t="shared" si="29"/>
        <v>1587313.3397422375</v>
      </c>
      <c r="Q75" s="324">
        <f t="shared" si="29"/>
        <v>2027377.3685423264</v>
      </c>
      <c r="R75" s="324">
        <f t="shared" si="29"/>
        <v>1864494.6655563358</v>
      </c>
      <c r="S75" s="324">
        <f t="shared" si="29"/>
        <v>1751051.650831331</v>
      </c>
      <c r="T75" s="324">
        <f t="shared" si="29"/>
        <v>1587313.3397422375</v>
      </c>
    </row>
    <row r="76" spans="2:28">
      <c r="B76" s="326" t="s">
        <v>1088</v>
      </c>
      <c r="C76" s="84" t="s">
        <v>657</v>
      </c>
      <c r="D76" s="803"/>
      <c r="E76" s="324">
        <f t="shared" ref="E76:J76" si="30">E21*$W$65</f>
        <v>1149518.6208083925</v>
      </c>
      <c r="F76" s="324">
        <f t="shared" si="30"/>
        <v>1210336.9717198471</v>
      </c>
      <c r="G76" s="324">
        <f t="shared" si="30"/>
        <v>1242537.0203831266</v>
      </c>
      <c r="H76" s="324">
        <f t="shared" si="30"/>
        <v>1302839.3139172012</v>
      </c>
      <c r="I76" s="324">
        <f t="shared" si="30"/>
        <v>1149518.6208083925</v>
      </c>
      <c r="J76" s="324">
        <f t="shared" si="30"/>
        <v>1210336.9717198471</v>
      </c>
      <c r="K76" s="324">
        <f t="shared" ref="K76:N76" si="31">K21*$W$65</f>
        <v>1242537.0203831266</v>
      </c>
      <c r="L76" s="324">
        <f t="shared" si="31"/>
        <v>1302839.3139172012</v>
      </c>
      <c r="M76" s="324">
        <f t="shared" si="31"/>
        <v>1161126.6408910556</v>
      </c>
      <c r="N76" s="324">
        <f t="shared" si="31"/>
        <v>1237532.6085985014</v>
      </c>
      <c r="O76" s="324">
        <f t="shared" ref="O76:T76" si="32">O21*$W$65</f>
        <v>1272709.3697789344</v>
      </c>
      <c r="P76" s="324">
        <f t="shared" si="32"/>
        <v>1310985.9127493729</v>
      </c>
      <c r="Q76" s="324">
        <f t="shared" si="32"/>
        <v>1161126.6408910556</v>
      </c>
      <c r="R76" s="324">
        <f t="shared" si="32"/>
        <v>1237532.6085985014</v>
      </c>
      <c r="S76" s="324">
        <f t="shared" si="32"/>
        <v>1272709.3697789344</v>
      </c>
      <c r="T76" s="324">
        <f t="shared" si="32"/>
        <v>1310985.9127493729</v>
      </c>
    </row>
    <row r="77" spans="2:28">
      <c r="B77" s="326" t="s">
        <v>780</v>
      </c>
      <c r="C77" s="84" t="s">
        <v>657</v>
      </c>
      <c r="D77" s="803"/>
      <c r="E77" s="324">
        <f t="shared" ref="E77:J77" si="33">E22*$W$70</f>
        <v>18331.703786295006</v>
      </c>
      <c r="F77" s="324">
        <f t="shared" si="33"/>
        <v>30682.646746978706</v>
      </c>
      <c r="G77" s="324">
        <f t="shared" si="33"/>
        <v>47845.332888704805</v>
      </c>
      <c r="H77" s="324">
        <f t="shared" si="33"/>
        <v>67985.618346551113</v>
      </c>
      <c r="I77" s="324">
        <f t="shared" si="33"/>
        <v>18331.703786295006</v>
      </c>
      <c r="J77" s="324">
        <f t="shared" si="33"/>
        <v>30682.646746978706</v>
      </c>
      <c r="K77" s="324">
        <f t="shared" ref="K77:N77" si="34">K22*$W$70</f>
        <v>47845.332888704805</v>
      </c>
      <c r="L77" s="324">
        <f t="shared" si="34"/>
        <v>67985.618346551113</v>
      </c>
      <c r="M77" s="324">
        <f t="shared" si="34"/>
        <v>18329.216089966063</v>
      </c>
      <c r="N77" s="324">
        <f t="shared" si="34"/>
        <v>30667.872903806459</v>
      </c>
      <c r="O77" s="324">
        <f t="shared" ref="O77:T77" si="35">O22*$W$70</f>
        <v>47831.023044555724</v>
      </c>
      <c r="P77" s="324">
        <f t="shared" si="35"/>
        <v>67989.676649934889</v>
      </c>
      <c r="Q77" s="324">
        <f t="shared" si="35"/>
        <v>18329.216089966063</v>
      </c>
      <c r="R77" s="324">
        <f t="shared" si="35"/>
        <v>30667.872903806459</v>
      </c>
      <c r="S77" s="324">
        <f t="shared" si="35"/>
        <v>47831.023044555724</v>
      </c>
      <c r="T77" s="324">
        <f t="shared" si="35"/>
        <v>67989.676649934889</v>
      </c>
    </row>
    <row r="78" spans="2:28">
      <c r="B78" s="326" t="s">
        <v>781</v>
      </c>
      <c r="C78" s="84" t="s">
        <v>657</v>
      </c>
      <c r="D78" s="803"/>
      <c r="E78" s="324">
        <f t="shared" ref="E78:J78" si="36">E23*$W$69</f>
        <v>157682.87239384771</v>
      </c>
      <c r="F78" s="324">
        <f t="shared" si="36"/>
        <v>219724.19429570046</v>
      </c>
      <c r="G78" s="324">
        <f t="shared" si="36"/>
        <v>280226.2954171481</v>
      </c>
      <c r="H78" s="324">
        <f t="shared" si="36"/>
        <v>351138.10890956962</v>
      </c>
      <c r="I78" s="324">
        <f t="shared" si="36"/>
        <v>157682.87239384771</v>
      </c>
      <c r="J78" s="324">
        <f t="shared" si="36"/>
        <v>219724.19429570046</v>
      </c>
      <c r="K78" s="324">
        <f t="shared" ref="K78:N78" si="37">K23*$W$69</f>
        <v>280226.2954171481</v>
      </c>
      <c r="L78" s="324">
        <f t="shared" si="37"/>
        <v>351138.10890956962</v>
      </c>
      <c r="M78" s="324">
        <f t="shared" si="37"/>
        <v>157667.67923288842</v>
      </c>
      <c r="N78" s="324">
        <f t="shared" si="37"/>
        <v>219626.47561022366</v>
      </c>
      <c r="O78" s="324">
        <f t="shared" ref="O78:T78" si="38">O23*$W$69</f>
        <v>280205.9011657412</v>
      </c>
      <c r="P78" s="324">
        <f t="shared" si="38"/>
        <v>352753.78024093108</v>
      </c>
      <c r="Q78" s="324">
        <f t="shared" si="38"/>
        <v>157667.67923288842</v>
      </c>
      <c r="R78" s="324">
        <f t="shared" si="38"/>
        <v>219626.47561022366</v>
      </c>
      <c r="S78" s="324">
        <f t="shared" si="38"/>
        <v>280205.9011657412</v>
      </c>
      <c r="T78" s="324">
        <f t="shared" si="38"/>
        <v>352753.78024093108</v>
      </c>
    </row>
    <row r="79" spans="2:28">
      <c r="B79" s="326" t="s">
        <v>779</v>
      </c>
      <c r="C79" s="84" t="s">
        <v>657</v>
      </c>
      <c r="D79" s="803"/>
      <c r="E79" s="324">
        <f t="shared" ref="E79:J79" si="39">E24*$W$72</f>
        <v>190488.41930316933</v>
      </c>
      <c r="F79" s="324">
        <f t="shared" si="39"/>
        <v>146130.09216043993</v>
      </c>
      <c r="G79" s="324">
        <f t="shared" si="39"/>
        <v>142812.54779235003</v>
      </c>
      <c r="H79" s="324">
        <f t="shared" si="39"/>
        <v>99263.375197705638</v>
      </c>
      <c r="I79" s="324">
        <f t="shared" si="39"/>
        <v>190488.41930316933</v>
      </c>
      <c r="J79" s="324">
        <f t="shared" si="39"/>
        <v>146130.09216043993</v>
      </c>
      <c r="K79" s="324">
        <f t="shared" ref="K79:N79" si="40">K24*$W$72</f>
        <v>142812.54779235003</v>
      </c>
      <c r="L79" s="324">
        <f t="shared" si="40"/>
        <v>99263.375197705638</v>
      </c>
      <c r="M79" s="324">
        <f t="shared" si="40"/>
        <v>190477.04084691458</v>
      </c>
      <c r="N79" s="324">
        <f t="shared" si="40"/>
        <v>146102.990705431</v>
      </c>
      <c r="O79" s="324">
        <f t="shared" ref="O79:T79" si="41">O24*$W$72</f>
        <v>142814.43893719584</v>
      </c>
      <c r="P79" s="324">
        <f t="shared" si="41"/>
        <v>149754.91218265894</v>
      </c>
      <c r="Q79" s="324">
        <f t="shared" si="41"/>
        <v>190477.04084691458</v>
      </c>
      <c r="R79" s="324">
        <f t="shared" si="41"/>
        <v>146102.990705431</v>
      </c>
      <c r="S79" s="324">
        <f t="shared" si="41"/>
        <v>142814.43893719584</v>
      </c>
      <c r="T79" s="324">
        <f t="shared" si="41"/>
        <v>149754.91218265894</v>
      </c>
    </row>
    <row r="80" spans="2:28">
      <c r="B80" s="326" t="s">
        <v>623</v>
      </c>
      <c r="C80" s="84" t="s">
        <v>657</v>
      </c>
      <c r="D80" s="803"/>
      <c r="E80" s="324"/>
      <c r="F80" s="324"/>
      <c r="G80" s="324"/>
      <c r="H80" s="324"/>
      <c r="I80" s="324"/>
      <c r="J80" s="716"/>
      <c r="K80" s="716"/>
      <c r="L80" s="716"/>
      <c r="M80" s="716"/>
      <c r="N80" s="716"/>
      <c r="O80" s="568"/>
      <c r="P80" s="568"/>
      <c r="Q80" s="568"/>
      <c r="R80" s="568"/>
      <c r="S80" s="568"/>
      <c r="T80" s="568"/>
    </row>
    <row r="81" spans="2:46">
      <c r="B81" s="326" t="s">
        <v>168</v>
      </c>
      <c r="C81" s="84" t="s">
        <v>657</v>
      </c>
      <c r="D81" s="803"/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</row>
    <row r="82" spans="2:46">
      <c r="B82" s="326" t="s">
        <v>849</v>
      </c>
      <c r="C82" s="84" t="s">
        <v>657</v>
      </c>
      <c r="E82" s="84"/>
      <c r="F82" s="84"/>
      <c r="G82" s="84"/>
      <c r="H82" s="84"/>
      <c r="I82" s="324"/>
      <c r="J82" s="716"/>
      <c r="K82" s="716"/>
      <c r="L82" s="716"/>
      <c r="M82" s="716"/>
      <c r="N82" s="716"/>
      <c r="O82" s="568"/>
      <c r="P82" s="568"/>
      <c r="Q82" s="568"/>
      <c r="R82" s="568"/>
      <c r="S82" s="568"/>
      <c r="T82" s="568"/>
    </row>
    <row r="83" spans="2:46">
      <c r="B83" s="326" t="s">
        <v>1044</v>
      </c>
      <c r="C83" s="84" t="s">
        <v>657</v>
      </c>
      <c r="E83" s="84"/>
      <c r="F83" s="84"/>
      <c r="G83" s="84"/>
      <c r="H83" s="84"/>
      <c r="I83" s="324"/>
      <c r="J83" s="716"/>
      <c r="K83" s="716"/>
      <c r="L83" s="716"/>
      <c r="M83" s="716"/>
      <c r="N83" s="716"/>
      <c r="O83" s="568"/>
      <c r="P83" s="568"/>
      <c r="Q83" s="568"/>
      <c r="R83" s="568"/>
      <c r="S83" s="568"/>
      <c r="T83" s="568"/>
    </row>
    <row r="84" spans="2:46">
      <c r="B84" s="326" t="s">
        <v>1050</v>
      </c>
      <c r="C84" s="84" t="s">
        <v>657</v>
      </c>
      <c r="E84" s="84"/>
      <c r="F84" s="84"/>
      <c r="G84" s="84"/>
      <c r="H84" s="84"/>
      <c r="I84" s="324"/>
      <c r="J84" s="716"/>
      <c r="K84" s="716"/>
      <c r="L84" s="716"/>
      <c r="M84" s="716"/>
      <c r="N84" s="716"/>
      <c r="O84" s="568"/>
      <c r="P84" s="568"/>
      <c r="Q84" s="568"/>
      <c r="R84" s="568"/>
      <c r="S84" s="568"/>
      <c r="T84" s="568"/>
    </row>
    <row r="85" spans="2:46">
      <c r="B85" s="326"/>
      <c r="C85" s="84"/>
      <c r="E85" s="84"/>
      <c r="F85" s="84"/>
      <c r="G85" s="84"/>
      <c r="H85" s="84"/>
      <c r="I85" s="324"/>
      <c r="J85" s="716"/>
      <c r="K85" s="716"/>
      <c r="L85" s="716"/>
      <c r="M85" s="716"/>
      <c r="N85" s="716"/>
      <c r="O85" s="568"/>
      <c r="P85" s="568"/>
      <c r="Q85" s="568"/>
      <c r="R85" s="568"/>
      <c r="S85" s="568"/>
      <c r="T85" s="568"/>
    </row>
    <row r="86" spans="2:46">
      <c r="B86" s="325" t="s">
        <v>806</v>
      </c>
      <c r="C86" s="84"/>
      <c r="E86" s="84"/>
      <c r="F86" s="84"/>
      <c r="G86" s="84"/>
      <c r="H86" s="84"/>
      <c r="I86" s="84"/>
      <c r="J86" s="717"/>
      <c r="K86" s="717"/>
      <c r="L86" s="717"/>
      <c r="M86" s="717"/>
      <c r="N86" s="717"/>
      <c r="O86" s="570"/>
      <c r="P86" s="570"/>
      <c r="Q86" s="570"/>
      <c r="R86" s="570"/>
      <c r="S86" s="570"/>
      <c r="T86" s="570"/>
    </row>
    <row r="87" spans="2:46">
      <c r="B87" s="326" t="s">
        <v>587</v>
      </c>
      <c r="C87" s="84"/>
      <c r="D87" s="883">
        <v>0.14525820262732211</v>
      </c>
      <c r="E87" s="327">
        <f t="shared" ref="E87:P88" si="42">E75/(E$60+E$64)</f>
        <v>0.25950317730640177</v>
      </c>
      <c r="F87" s="327">
        <f t="shared" si="42"/>
        <v>0.27801678026057214</v>
      </c>
      <c r="G87" s="327">
        <f t="shared" si="42"/>
        <v>0.28818219203915479</v>
      </c>
      <c r="H87" s="327">
        <f t="shared" si="42"/>
        <v>0.27587857157256856</v>
      </c>
      <c r="I87" s="327">
        <f t="shared" si="42"/>
        <v>0.22723695706141489</v>
      </c>
      <c r="J87" s="327">
        <f t="shared" si="42"/>
        <v>0.24450149566798046</v>
      </c>
      <c r="K87" s="327">
        <f t="shared" si="42"/>
        <v>0.25644529649817738</v>
      </c>
      <c r="L87" s="327">
        <f t="shared" si="42"/>
        <v>0.24797732099808104</v>
      </c>
      <c r="M87" s="327">
        <f t="shared" si="42"/>
        <v>0.30374122545584603</v>
      </c>
      <c r="N87" s="327">
        <f t="shared" si="42"/>
        <v>0.31872154020737675</v>
      </c>
      <c r="O87" s="571">
        <f t="shared" si="42"/>
        <v>0.32727442670667928</v>
      </c>
      <c r="P87" s="571">
        <f t="shared" si="42"/>
        <v>0.31520161228169563</v>
      </c>
      <c r="Q87" s="571">
        <f>1609/(3796+374+470+14+36)</f>
        <v>0.34307036247334755</v>
      </c>
      <c r="R87" s="571">
        <f>R75/(R60+R64)</f>
        <v>0.31490741662284344</v>
      </c>
      <c r="S87" s="571">
        <f t="shared" ref="S87:T87" si="43">S75/(S60+S64)</f>
        <v>0.32290509544270379</v>
      </c>
      <c r="T87" s="571">
        <f t="shared" si="43"/>
        <v>0.30460523643840215</v>
      </c>
    </row>
    <row r="88" spans="2:46">
      <c r="B88" s="326" t="s">
        <v>591</v>
      </c>
      <c r="C88" s="84"/>
      <c r="D88" s="883">
        <v>0.254</v>
      </c>
      <c r="E88" s="327">
        <f t="shared" si="42"/>
        <v>0.1471261297865743</v>
      </c>
      <c r="F88" s="327">
        <f t="shared" si="42"/>
        <v>0.18041430227541302</v>
      </c>
      <c r="G88" s="327">
        <f t="shared" si="42"/>
        <v>0.20448019674691009</v>
      </c>
      <c r="H88" s="327">
        <f t="shared" si="42"/>
        <v>0.22993067970861203</v>
      </c>
      <c r="I88" s="327">
        <f t="shared" si="42"/>
        <v>0.12883269632359595</v>
      </c>
      <c r="J88" s="327">
        <f t="shared" si="42"/>
        <v>0.15866512339611266</v>
      </c>
      <c r="K88" s="327">
        <f t="shared" si="42"/>
        <v>0.18196122498659584</v>
      </c>
      <c r="L88" s="327">
        <f t="shared" si="42"/>
        <v>0.20667641435286765</v>
      </c>
      <c r="M88" s="327">
        <f t="shared" si="42"/>
        <v>0.17395973452503113</v>
      </c>
      <c r="N88" s="327">
        <f t="shared" si="42"/>
        <v>0.21154702470102046</v>
      </c>
      <c r="O88" s="571">
        <f t="shared" si="42"/>
        <v>0.23787146950283844</v>
      </c>
      <c r="P88" s="571">
        <f t="shared" si="42"/>
        <v>0.26032974273642528</v>
      </c>
      <c r="Q88" s="571">
        <v>0</v>
      </c>
      <c r="R88" s="571">
        <f>R76/(R60+R64)</f>
        <v>0.20901545279776906</v>
      </c>
      <c r="S88" s="571">
        <f t="shared" ref="S88:T88" si="44">S76/(S60+S64)</f>
        <v>0.23469572717868167</v>
      </c>
      <c r="T88" s="571">
        <f t="shared" si="44"/>
        <v>0.25157803687662866</v>
      </c>
    </row>
    <row r="89" spans="2:46">
      <c r="B89" s="326" t="s">
        <v>1069</v>
      </c>
      <c r="C89" s="84"/>
      <c r="D89" s="883">
        <v>0.19900000000000001</v>
      </c>
      <c r="E89" s="327">
        <f t="shared" ref="E89:J89" si="45">(E77+E78+E79)/(E$60+E$64)</f>
        <v>4.6908476561019569E-2</v>
      </c>
      <c r="F89" s="327">
        <f t="shared" si="45"/>
        <v>5.910827794396431E-2</v>
      </c>
      <c r="G89" s="327">
        <f t="shared" si="45"/>
        <v>7.7491847239994513E-2</v>
      </c>
      <c r="H89" s="327">
        <f t="shared" si="45"/>
        <v>9.1487183067121683E-2</v>
      </c>
      <c r="I89" s="327">
        <f t="shared" si="45"/>
        <v>4.1075949761983248E-2</v>
      </c>
      <c r="J89" s="327">
        <f t="shared" si="45"/>
        <v>5.1982698131072279E-2</v>
      </c>
      <c r="K89" s="327">
        <f t="shared" ref="K89:N89" si="46">(K77+K78+K79)/(K$60+K$64)</f>
        <v>6.895783393497068E-2</v>
      </c>
      <c r="L89" s="327">
        <f t="shared" si="46"/>
        <v>8.2234536859192756E-2</v>
      </c>
      <c r="M89" s="327">
        <f t="shared" si="46"/>
        <v>5.4905043430501926E-2</v>
      </c>
      <c r="N89" s="327">
        <f t="shared" si="46"/>
        <v>6.7761186354713773E-2</v>
      </c>
      <c r="O89" s="571">
        <f>(O77+O78+O79+O82)/(O$60+O$64)</f>
        <v>8.8002892356141865E-2</v>
      </c>
      <c r="P89" s="571">
        <f>(P77+P78+P79+P82)/(P$60+P$64)</f>
        <v>0.1132870248323208</v>
      </c>
      <c r="Q89" s="571">
        <f>363/(3796+374+470+14+36)</f>
        <v>7.7398720682302774E-2</v>
      </c>
      <c r="R89" s="571">
        <f>SUM(R77:R84)/(R60+R64)</f>
        <v>6.695029187038333E-2</v>
      </c>
      <c r="S89" s="571">
        <f t="shared" ref="S89:T89" si="47">SUM(S77:S84)/(S60+S64)</f>
        <v>8.6827995213211176E-2</v>
      </c>
      <c r="T89" s="571">
        <f t="shared" si="47"/>
        <v>0.10947856749416808</v>
      </c>
    </row>
    <row r="90" spans="2:46" hidden="1">
      <c r="B90" s="328" t="s">
        <v>807</v>
      </c>
      <c r="C90" s="84"/>
      <c r="D90" s="883">
        <f t="shared" ref="D90:R90" si="48">SUM(D87:D89)</f>
        <v>0.59825820262732221</v>
      </c>
      <c r="E90" s="327">
        <f t="shared" si="48"/>
        <v>0.45353778365399566</v>
      </c>
      <c r="F90" s="327">
        <f t="shared" si="48"/>
        <v>0.51753936047994953</v>
      </c>
      <c r="G90" s="327">
        <f t="shared" si="48"/>
        <v>0.57015423602605941</v>
      </c>
      <c r="H90" s="327">
        <f t="shared" si="48"/>
        <v>0.59729643434830226</v>
      </c>
      <c r="I90" s="327">
        <f t="shared" si="48"/>
        <v>0.3971456031469941</v>
      </c>
      <c r="J90" s="718"/>
      <c r="K90" s="718"/>
      <c r="L90" s="718"/>
      <c r="M90" s="718"/>
      <c r="N90" s="718"/>
      <c r="O90" s="571">
        <f t="shared" si="48"/>
        <v>0.65314878856565961</v>
      </c>
      <c r="P90" s="571">
        <f t="shared" si="48"/>
        <v>0.6888183798504417</v>
      </c>
      <c r="Q90" s="571">
        <f t="shared" si="48"/>
        <v>0.42046908315565035</v>
      </c>
      <c r="R90" s="571">
        <f t="shared" si="48"/>
        <v>0.59087316129099587</v>
      </c>
    </row>
    <row r="91" spans="2:46" hidden="1">
      <c r="B91" s="281"/>
      <c r="C91" s="82"/>
      <c r="D91" s="791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543"/>
      <c r="P91" s="543"/>
    </row>
    <row r="92" spans="2:46" s="311" customFormat="1" hidden="1">
      <c r="B92" s="281"/>
      <c r="C92" s="82"/>
      <c r="D92" s="791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543"/>
      <c r="P92" s="543"/>
      <c r="Q92" s="548"/>
      <c r="R92" s="548"/>
      <c r="S92"/>
      <c r="T92"/>
      <c r="U92" s="313" t="s">
        <v>795</v>
      </c>
      <c r="V92" s="313" t="s">
        <v>140</v>
      </c>
      <c r="W92" s="313" t="s">
        <v>573</v>
      </c>
      <c r="X92" s="313" t="s">
        <v>796</v>
      </c>
      <c r="Y92" s="313" t="s">
        <v>848</v>
      </c>
      <c r="AA92" s="311" t="s">
        <v>776</v>
      </c>
      <c r="AC92" s="313" t="s">
        <v>138</v>
      </c>
      <c r="AD92" s="313" t="s">
        <v>574</v>
      </c>
      <c r="AE92" s="313" t="s">
        <v>795</v>
      </c>
      <c r="AF92" s="313" t="s">
        <v>140</v>
      </c>
      <c r="AG92" s="313" t="s">
        <v>573</v>
      </c>
      <c r="AH92" s="313" t="s">
        <v>796</v>
      </c>
      <c r="AI92" s="313" t="s">
        <v>848</v>
      </c>
      <c r="AL92" s="311" t="s">
        <v>777</v>
      </c>
      <c r="AN92" s="313" t="s">
        <v>138</v>
      </c>
      <c r="AO92" s="313" t="s">
        <v>574</v>
      </c>
      <c r="AP92" s="313" t="s">
        <v>795</v>
      </c>
      <c r="AQ92" s="313" t="s">
        <v>140</v>
      </c>
      <c r="AR92" s="313" t="s">
        <v>573</v>
      </c>
      <c r="AS92" s="313" t="s">
        <v>796</v>
      </c>
      <c r="AT92" s="313" t="s">
        <v>848</v>
      </c>
    </row>
    <row r="93" spans="2:46" s="313" customFormat="1" hidden="1">
      <c r="B93"/>
      <c r="C93"/>
      <c r="D93" s="879"/>
      <c r="E93"/>
      <c r="F93"/>
      <c r="G93"/>
      <c r="H93"/>
      <c r="I93"/>
      <c r="J93"/>
      <c r="K93"/>
      <c r="L93"/>
      <c r="M93"/>
      <c r="N93"/>
      <c r="O93" s="548"/>
      <c r="P93" s="548"/>
      <c r="Q93" s="609"/>
      <c r="R93" s="609"/>
      <c r="S93"/>
      <c r="T93"/>
      <c r="U93" s="314">
        <f>U123+2*(U124+U125+U126)+4*U127+6*U128+7*U129+10*U130</f>
        <v>521.7270563367789</v>
      </c>
      <c r="V93" s="314">
        <f>V123+2*(V124+V125+V126)+4*V127+6*V128+7*V129+10*V130</f>
        <v>207.60103108353883</v>
      </c>
      <c r="W93" s="314">
        <f>W123+2*(W124+W125+W126)+4*W127+6*W128+7*W129+10*W130</f>
        <v>1360.2496138045867</v>
      </c>
      <c r="X93" s="314">
        <f>X123+2*(X124+X125+X126)+4*X127+6*X128+7*X129+10*X130</f>
        <v>800.88252028310592</v>
      </c>
      <c r="Y93" s="314">
        <f>Y123+2*(Y124+Y125+Y126)+4*Y127+6*Y128+7*Y129+10*Y130</f>
        <v>8141.1373541292796</v>
      </c>
      <c r="AA93" s="313" t="s">
        <v>800</v>
      </c>
      <c r="AC93" s="314">
        <f t="shared" ref="AC93:AI93" si="49">AC123+2*(AC124+AC125+AC126)+4*AC127+6*AC128+7*AC129+10*AC130</f>
        <v>13186.8</v>
      </c>
      <c r="AD93" s="314">
        <f t="shared" si="49"/>
        <v>8225.7847634403533</v>
      </c>
      <c r="AE93" s="314">
        <f t="shared" si="49"/>
        <v>539.2338252276337</v>
      </c>
      <c r="AF93" s="314">
        <f t="shared" si="49"/>
        <v>321.26443779040068</v>
      </c>
      <c r="AG93" s="314">
        <f t="shared" si="49"/>
        <v>1793.2333399462245</v>
      </c>
      <c r="AH93" s="314">
        <f t="shared" si="49"/>
        <v>742.15858617136189</v>
      </c>
      <c r="AI93" s="314">
        <f t="shared" si="49"/>
        <v>6793.44510396034</v>
      </c>
      <c r="AL93" s="313" t="s">
        <v>800</v>
      </c>
      <c r="AN93" s="314">
        <f t="shared" ref="AN93:AT93" si="50">AN123+2*(AN124+AN125+AN126)+4*AN127+6*AN128+7*AN129+10*AN130</f>
        <v>13186.8</v>
      </c>
      <c r="AO93" s="314">
        <f t="shared" si="50"/>
        <v>7626.7062120958672</v>
      </c>
      <c r="AP93" s="314">
        <f t="shared" si="50"/>
        <v>558.38093184725915</v>
      </c>
      <c r="AQ93" s="314">
        <f t="shared" si="50"/>
        <v>461.91096722071012</v>
      </c>
      <c r="AR93" s="314">
        <f t="shared" si="50"/>
        <v>2246.3888416370628</v>
      </c>
      <c r="AS93" s="314">
        <f t="shared" si="50"/>
        <v>839.72551612154541</v>
      </c>
      <c r="AT93" s="314">
        <f t="shared" si="50"/>
        <v>5934.6175173248103</v>
      </c>
    </row>
    <row r="94" spans="2:46" s="313" customFormat="1" hidden="1">
      <c r="B94" s="311" t="s">
        <v>798</v>
      </c>
      <c r="C94" s="311"/>
      <c r="D94" s="879" t="s">
        <v>138</v>
      </c>
      <c r="E94" s="313" t="s">
        <v>574</v>
      </c>
      <c r="F94" s="313" t="s">
        <v>795</v>
      </c>
      <c r="G94" s="313" t="s">
        <v>140</v>
      </c>
      <c r="H94" s="313" t="s">
        <v>573</v>
      </c>
      <c r="I94" s="313" t="s">
        <v>796</v>
      </c>
      <c r="O94" s="548" t="s">
        <v>848</v>
      </c>
      <c r="P94" s="617"/>
      <c r="Q94" s="618" t="s">
        <v>775</v>
      </c>
      <c r="R94" s="618"/>
      <c r="S94" s="313" t="s">
        <v>138</v>
      </c>
      <c r="T94" s="313" t="s">
        <v>574</v>
      </c>
      <c r="U94" s="314">
        <f>U154*39.4+U155*15.4+U156*14.4+U157*14+U158*13.9+U159*12.7+U160*11.6+U161*11.3+U162*11.2</f>
        <v>1242834.5833222191</v>
      </c>
      <c r="V94" s="314">
        <f>V154*39.4+V155*15.4+V156*14.4+V157*14+V158*13.9+V159*12.7+V160*11.6+V161*11.3+V162*11.2</f>
        <v>29889.216096861855</v>
      </c>
      <c r="W94" s="314">
        <f>W154*39.4+W155*15.4+W156*14.4+W157*14+W158*13.9+W159*12.7+W160*11.6+W161*11.3+W162*11.2</f>
        <v>205328.65079470788</v>
      </c>
      <c r="X94" s="314">
        <f>X154*39.4+X155*15.4+X156*14.4+X157*14+X158*13.9+X159*12.7+X160*11.6+X161*11.3+X162*11.2</f>
        <v>153609.53518105764</v>
      </c>
      <c r="Y94" s="314">
        <f>Y154*39.4+Y155*15.4+Y156*14.4+Y157*14+Y158*13.9+Y159*12.7+Y160*11.6+Y161*11.3+Y162*11.2</f>
        <v>2011337.2155696976</v>
      </c>
      <c r="AA94" s="313" t="s">
        <v>801</v>
      </c>
      <c r="AC94" s="314">
        <f t="shared" ref="AC94:AI94" si="51">AC154*39.4+AC155*15.4+AC156*14.4+AC157*14+AC158*13.9+AC159*12.7+AC160*11.6+AC161*11.3+AC162*11.2</f>
        <v>3257911.0805472001</v>
      </c>
      <c r="AD94" s="314">
        <f t="shared" si="51"/>
        <v>1615800.3011579323</v>
      </c>
      <c r="AE94" s="314">
        <f t="shared" si="51"/>
        <v>1276255.9008021173</v>
      </c>
      <c r="AF94" s="314">
        <f t="shared" si="51"/>
        <v>46232.719101839357</v>
      </c>
      <c r="AG94" s="314">
        <f t="shared" si="51"/>
        <v>270688.82691783906</v>
      </c>
      <c r="AH94" s="314">
        <f t="shared" si="51"/>
        <v>136030.88566346676</v>
      </c>
      <c r="AI94" s="314">
        <f t="shared" si="51"/>
        <v>1678378.3843905693</v>
      </c>
      <c r="AL94" s="313" t="s">
        <v>801</v>
      </c>
      <c r="AN94" s="314">
        <f t="shared" ref="AN94:AT94" si="52">AN154*39.4+AN155*15.4+AN156*14.4+AN157*14+AN158*13.9+AN159*12.7+AN160*11.6+AN161*11.3+AN162*11.2</f>
        <v>3257911.0805472001</v>
      </c>
      <c r="AO94" s="314">
        <f t="shared" si="52"/>
        <v>1498416.1029357922</v>
      </c>
      <c r="AP94" s="314">
        <f t="shared" si="52"/>
        <v>1312711.8884822922</v>
      </c>
      <c r="AQ94" s="314">
        <f t="shared" si="52"/>
        <v>66463.990030723813</v>
      </c>
      <c r="AR94" s="314">
        <f t="shared" si="52"/>
        <v>338999.9868631456</v>
      </c>
      <c r="AS94" s="314">
        <f t="shared" si="52"/>
        <v>145256.38239596854</v>
      </c>
      <c r="AT94" s="314">
        <f t="shared" si="52"/>
        <v>1466197.7256424592</v>
      </c>
    </row>
    <row r="95" spans="2:46" hidden="1">
      <c r="B95" s="313" t="s">
        <v>800</v>
      </c>
      <c r="C95" s="313"/>
      <c r="D95" s="803">
        <f t="shared" ref="D95:O95" si="53">D125+2*(D126+D127+D128)+4*D129+6*D130+7*D131+10*D132</f>
        <v>13186.8</v>
      </c>
      <c r="E95" s="314">
        <f t="shared" si="53"/>
        <v>8884.3714945785014</v>
      </c>
      <c r="F95" s="314">
        <f t="shared" si="53"/>
        <v>486.82523001695915</v>
      </c>
      <c r="G95" s="314">
        <f t="shared" si="53"/>
        <v>124.29427439705364</v>
      </c>
      <c r="H95" s="314">
        <f t="shared" si="53"/>
        <v>1010.8357976782054</v>
      </c>
      <c r="I95" s="314">
        <f t="shared" si="53"/>
        <v>1007.2636382820812</v>
      </c>
      <c r="J95" s="314"/>
      <c r="K95" s="314"/>
      <c r="L95" s="314"/>
      <c r="M95" s="314"/>
      <c r="N95" s="314"/>
      <c r="O95" s="609">
        <f t="shared" si="53"/>
        <v>10578.170934977299</v>
      </c>
      <c r="Q95" s="548" t="s">
        <v>800</v>
      </c>
      <c r="S95" s="314">
        <f>S125+2*(S126+S127+S128)+4*S129+6*S130+7*S131+10*S132</f>
        <v>13186.8</v>
      </c>
      <c r="T95" s="314">
        <f>T125+2*(T126+T127+T128)+4*T129+6*T130+7*T131+10*T132</f>
        <v>8487.9406236130544</v>
      </c>
    </row>
    <row r="96" spans="2:46" hidden="1">
      <c r="B96" s="313" t="s">
        <v>801</v>
      </c>
      <c r="C96" s="313"/>
      <c r="D96" s="803">
        <f>D156*39.4+D157*15.4+D158*14.4+D159*14+D160*13.9+D161*12.7+D162*11.6+D163*11.3+D164*11.2</f>
        <v>3257911.0805472001</v>
      </c>
      <c r="E96" s="314">
        <f t="shared" ref="E96:O96" si="54">E156*39.4+E157*15.4+E158*14.4+E159*14+E160*13.9+E161*12.7+E162*11.6+E163*11.3+E164*11.2</f>
        <v>1744942.6616599944</v>
      </c>
      <c r="F96" s="314">
        <f t="shared" si="54"/>
        <v>1165677.1812338117</v>
      </c>
      <c r="G96" s="314">
        <f t="shared" si="54"/>
        <v>17895.568638327768</v>
      </c>
      <c r="H96" s="314">
        <f t="shared" si="54"/>
        <v>152584.89385277155</v>
      </c>
      <c r="I96" s="314">
        <f t="shared" si="54"/>
        <v>198903.86237889947</v>
      </c>
      <c r="J96" s="314"/>
      <c r="K96" s="314"/>
      <c r="L96" s="314"/>
      <c r="M96" s="314"/>
      <c r="N96" s="314"/>
      <c r="O96" s="609">
        <f t="shared" si="54"/>
        <v>2613427.0862517823</v>
      </c>
      <c r="Q96" s="548" t="s">
        <v>801</v>
      </c>
      <c r="S96" s="314">
        <f>S156*39.4+S157*15.4+S158*14.4+S159*14+S160*13.9+S161*12.7+S162*11.6+S163*11.3+S164*11.2</f>
        <v>3257911.0805472001</v>
      </c>
      <c r="T96" s="314">
        <f>T156*39.4+T157*15.4+T158*14.4+T159*14+T160*13.9+T161*12.7+T162*11.6+T163*11.3+T164*11.2</f>
        <v>1667127.9430537424</v>
      </c>
      <c r="U96" t="s">
        <v>795</v>
      </c>
      <c r="V96" t="s">
        <v>140</v>
      </c>
      <c r="W96" t="s">
        <v>573</v>
      </c>
      <c r="X96" t="s">
        <v>796</v>
      </c>
      <c r="Y96" t="s">
        <v>848</v>
      </c>
      <c r="AB96" t="s">
        <v>76</v>
      </c>
      <c r="AC96" t="s">
        <v>138</v>
      </c>
      <c r="AD96" t="s">
        <v>574</v>
      </c>
      <c r="AE96" t="s">
        <v>795</v>
      </c>
      <c r="AF96" t="s">
        <v>140</v>
      </c>
      <c r="AG96" t="s">
        <v>573</v>
      </c>
      <c r="AH96" t="s">
        <v>796</v>
      </c>
      <c r="AI96" t="s">
        <v>854</v>
      </c>
      <c r="AM96" t="s">
        <v>76</v>
      </c>
      <c r="AN96" t="s">
        <v>138</v>
      </c>
      <c r="AO96" t="s">
        <v>574</v>
      </c>
      <c r="AP96" t="s">
        <v>795</v>
      </c>
      <c r="AQ96" t="s">
        <v>140</v>
      </c>
      <c r="AR96" t="s">
        <v>573</v>
      </c>
      <c r="AS96" t="s">
        <v>796</v>
      </c>
      <c r="AT96" t="s">
        <v>854</v>
      </c>
    </row>
    <row r="97" spans="2:46" hidden="1">
      <c r="Q97" s="609"/>
      <c r="R97" s="609"/>
      <c r="AA97" t="s">
        <v>77</v>
      </c>
      <c r="AL97" t="s">
        <v>77</v>
      </c>
    </row>
    <row r="98" spans="2:46" hidden="1">
      <c r="C98" t="s">
        <v>76</v>
      </c>
      <c r="D98" s="879" t="s">
        <v>138</v>
      </c>
      <c r="E98" t="s">
        <v>574</v>
      </c>
      <c r="F98" t="s">
        <v>795</v>
      </c>
      <c r="G98" t="s">
        <v>140</v>
      </c>
      <c r="H98" t="s">
        <v>573</v>
      </c>
      <c r="I98" s="288" t="s">
        <v>796</v>
      </c>
      <c r="J98" s="288"/>
      <c r="K98" s="288"/>
      <c r="L98" s="288"/>
      <c r="M98" s="288"/>
      <c r="N98" s="288"/>
      <c r="O98" s="609" t="s">
        <v>848</v>
      </c>
      <c r="P98" s="609"/>
      <c r="Q98" s="609"/>
      <c r="R98" s="609" t="s">
        <v>76</v>
      </c>
      <c r="S98" t="s">
        <v>138</v>
      </c>
      <c r="T98" t="s">
        <v>574</v>
      </c>
      <c r="U98" t="s">
        <v>161</v>
      </c>
      <c r="V98" t="s">
        <v>149</v>
      </c>
      <c r="W98" t="s">
        <v>154</v>
      </c>
      <c r="X98" t="s">
        <v>156</v>
      </c>
      <c r="AA98" t="s">
        <v>78</v>
      </c>
      <c r="AD98" t="s">
        <v>156</v>
      </c>
      <c r="AE98" t="s">
        <v>161</v>
      </c>
      <c r="AF98" t="s">
        <v>149</v>
      </c>
      <c r="AG98" t="s">
        <v>154</v>
      </c>
      <c r="AH98" t="s">
        <v>156</v>
      </c>
      <c r="AL98" t="s">
        <v>78</v>
      </c>
      <c r="AO98" t="s">
        <v>156</v>
      </c>
      <c r="AP98" t="s">
        <v>161</v>
      </c>
      <c r="AQ98" t="s">
        <v>149</v>
      </c>
      <c r="AR98" t="s">
        <v>154</v>
      </c>
      <c r="AS98" t="s">
        <v>156</v>
      </c>
    </row>
    <row r="99" spans="2:46" hidden="1">
      <c r="B99" t="s">
        <v>77</v>
      </c>
      <c r="I99" s="288"/>
      <c r="J99" s="288"/>
      <c r="K99" s="288"/>
      <c r="L99" s="288"/>
      <c r="M99" s="288"/>
      <c r="N99" s="288"/>
      <c r="O99" s="609"/>
      <c r="P99" s="609"/>
      <c r="Q99" s="609" t="s">
        <v>77</v>
      </c>
      <c r="R99" s="609"/>
      <c r="Y99" t="s">
        <v>145</v>
      </c>
      <c r="AA99" t="s">
        <v>81</v>
      </c>
      <c r="AC99" t="s">
        <v>141</v>
      </c>
      <c r="AI99" t="s">
        <v>145</v>
      </c>
      <c r="AL99" t="s">
        <v>81</v>
      </c>
      <c r="AN99" t="s">
        <v>141</v>
      </c>
      <c r="AT99" t="s">
        <v>145</v>
      </c>
    </row>
    <row r="100" spans="2:46" hidden="1">
      <c r="B100" t="s">
        <v>78</v>
      </c>
      <c r="E100" t="s">
        <v>156</v>
      </c>
      <c r="F100" t="s">
        <v>161</v>
      </c>
      <c r="G100" t="s">
        <v>149</v>
      </c>
      <c r="H100" t="s">
        <v>154</v>
      </c>
      <c r="I100" s="288" t="s">
        <v>156</v>
      </c>
      <c r="J100" s="288"/>
      <c r="K100" s="288"/>
      <c r="L100" s="288"/>
      <c r="M100" s="288"/>
      <c r="N100" s="288"/>
      <c r="O100" s="609"/>
      <c r="P100" s="609"/>
      <c r="Q100" s="609" t="s">
        <v>78</v>
      </c>
      <c r="R100" s="609"/>
      <c r="T100" t="s">
        <v>156</v>
      </c>
      <c r="U100" t="s">
        <v>83</v>
      </c>
      <c r="V100" t="s">
        <v>83</v>
      </c>
      <c r="W100" t="s">
        <v>83</v>
      </c>
      <c r="X100" t="s">
        <v>83</v>
      </c>
      <c r="Y100" t="s">
        <v>83</v>
      </c>
      <c r="AA100" t="s">
        <v>82</v>
      </c>
      <c r="AC100" t="s">
        <v>83</v>
      </c>
      <c r="AD100" t="s">
        <v>83</v>
      </c>
      <c r="AE100" t="s">
        <v>83</v>
      </c>
      <c r="AF100" t="s">
        <v>83</v>
      </c>
      <c r="AG100" t="s">
        <v>83</v>
      </c>
      <c r="AH100" t="s">
        <v>83</v>
      </c>
      <c r="AI100" t="s">
        <v>83</v>
      </c>
      <c r="AL100" t="s">
        <v>82</v>
      </c>
      <c r="AN100" t="s">
        <v>83</v>
      </c>
      <c r="AO100" t="s">
        <v>83</v>
      </c>
      <c r="AP100" t="s">
        <v>83</v>
      </c>
      <c r="AQ100" t="s">
        <v>83</v>
      </c>
      <c r="AR100" t="s">
        <v>83</v>
      </c>
      <c r="AS100" t="s">
        <v>83</v>
      </c>
      <c r="AT100" t="s">
        <v>83</v>
      </c>
    </row>
    <row r="101" spans="2:46" hidden="1">
      <c r="B101" t="s">
        <v>81</v>
      </c>
      <c r="D101" s="879" t="s">
        <v>141</v>
      </c>
      <c r="I101" s="288"/>
      <c r="J101" s="288"/>
      <c r="K101" s="288"/>
      <c r="L101" s="288"/>
      <c r="M101" s="288"/>
      <c r="N101" s="288"/>
      <c r="O101" s="609" t="s">
        <v>145</v>
      </c>
      <c r="P101" s="609"/>
      <c r="Q101" s="609" t="s">
        <v>81</v>
      </c>
      <c r="R101" s="609"/>
      <c r="S101" t="s">
        <v>141</v>
      </c>
      <c r="AA101" t="s">
        <v>84</v>
      </c>
      <c r="AL101" t="s">
        <v>84</v>
      </c>
    </row>
    <row r="102" spans="2:46" hidden="1">
      <c r="B102" t="s">
        <v>82</v>
      </c>
      <c r="D102" s="879" t="s">
        <v>83</v>
      </c>
      <c r="E102" t="s">
        <v>83</v>
      </c>
      <c r="F102" t="s">
        <v>83</v>
      </c>
      <c r="G102" t="s">
        <v>83</v>
      </c>
      <c r="H102" t="s">
        <v>83</v>
      </c>
      <c r="I102" s="288" t="s">
        <v>83</v>
      </c>
      <c r="J102" s="288"/>
      <c r="K102" s="288"/>
      <c r="L102" s="288"/>
      <c r="M102" s="288"/>
      <c r="N102" s="288"/>
      <c r="O102" s="609" t="s">
        <v>83</v>
      </c>
      <c r="P102" s="609"/>
      <c r="Q102" s="609" t="s">
        <v>82</v>
      </c>
      <c r="R102" s="609"/>
      <c r="S102" t="s">
        <v>83</v>
      </c>
      <c r="T102" t="s">
        <v>83</v>
      </c>
      <c r="U102">
        <v>52032.0084736809</v>
      </c>
      <c r="V102">
        <v>1065.3222547970599</v>
      </c>
      <c r="W102">
        <v>9208.9503012401601</v>
      </c>
      <c r="X102">
        <v>0</v>
      </c>
      <c r="AA102" t="s">
        <v>85</v>
      </c>
      <c r="AB102" t="s">
        <v>86</v>
      </c>
      <c r="AC102">
        <v>81.925695656639903</v>
      </c>
      <c r="AD102">
        <v>92320.098861691702</v>
      </c>
      <c r="AE102">
        <v>53479.546634026003</v>
      </c>
      <c r="AF102">
        <v>1648.38260080297</v>
      </c>
      <c r="AG102">
        <v>12141.685590773501</v>
      </c>
      <c r="AH102">
        <v>0</v>
      </c>
      <c r="AL102" t="s">
        <v>85</v>
      </c>
      <c r="AM102" t="s">
        <v>86</v>
      </c>
      <c r="AN102">
        <v>81.925695656639903</v>
      </c>
      <c r="AO102">
        <v>85601.957491492096</v>
      </c>
      <c r="AP102">
        <v>55059.229732671702</v>
      </c>
      <c r="AQ102">
        <v>2370.0082444180298</v>
      </c>
      <c r="AR102">
        <v>15212.347811231801</v>
      </c>
      <c r="AS102">
        <v>0</v>
      </c>
    </row>
    <row r="103" spans="2:46" hidden="1">
      <c r="B103" t="s">
        <v>84</v>
      </c>
      <c r="D103" s="803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609"/>
      <c r="P103" s="609"/>
      <c r="Q103" s="609" t="s">
        <v>84</v>
      </c>
      <c r="R103" s="609"/>
      <c r="AA103" t="s">
        <v>87</v>
      </c>
      <c r="AL103" t="s">
        <v>87</v>
      </c>
    </row>
    <row r="104" spans="2:46" hidden="1">
      <c r="B104" t="s">
        <v>85</v>
      </c>
      <c r="C104" t="s">
        <v>86</v>
      </c>
      <c r="D104" s="803">
        <v>81.925695656639903</v>
      </c>
      <c r="E104" s="288">
        <v>99704.611250216898</v>
      </c>
      <c r="F104" s="288">
        <v>48766.848426058597</v>
      </c>
      <c r="G104" s="288">
        <v>637.82504748666997</v>
      </c>
      <c r="H104" s="288">
        <v>6843.5581361240102</v>
      </c>
      <c r="I104" s="288">
        <v>0</v>
      </c>
      <c r="J104" s="288"/>
      <c r="K104" s="288"/>
      <c r="L104" s="288"/>
      <c r="M104" s="288"/>
      <c r="N104" s="288"/>
      <c r="O104" s="609"/>
      <c r="P104" s="609"/>
      <c r="Q104" s="609" t="s">
        <v>85</v>
      </c>
      <c r="R104" s="609" t="s">
        <v>86</v>
      </c>
      <c r="S104">
        <v>81.925695656639903</v>
      </c>
      <c r="T104">
        <v>95257.014009000006</v>
      </c>
      <c r="U104" t="s">
        <v>89</v>
      </c>
      <c r="V104" t="s">
        <v>123</v>
      </c>
      <c r="W104" t="s">
        <v>123</v>
      </c>
      <c r="X104" t="s">
        <v>123</v>
      </c>
      <c r="Y104" t="s">
        <v>89</v>
      </c>
      <c r="AA104" t="s">
        <v>88</v>
      </c>
      <c r="AC104" t="s">
        <v>89</v>
      </c>
      <c r="AD104" t="s">
        <v>123</v>
      </c>
      <c r="AE104" t="s">
        <v>89</v>
      </c>
      <c r="AF104" t="s">
        <v>123</v>
      </c>
      <c r="AG104" t="s">
        <v>123</v>
      </c>
      <c r="AH104" t="s">
        <v>123</v>
      </c>
      <c r="AI104" t="s">
        <v>89</v>
      </c>
      <c r="AL104" t="s">
        <v>88</v>
      </c>
      <c r="AN104" t="s">
        <v>89</v>
      </c>
      <c r="AO104" t="s">
        <v>123</v>
      </c>
      <c r="AP104" t="s">
        <v>89</v>
      </c>
      <c r="AQ104" t="s">
        <v>123</v>
      </c>
      <c r="AR104" t="s">
        <v>123</v>
      </c>
      <c r="AS104" t="s">
        <v>123</v>
      </c>
      <c r="AT104" t="s">
        <v>89</v>
      </c>
    </row>
    <row r="105" spans="2:46" hidden="1">
      <c r="B105" t="s">
        <v>87</v>
      </c>
      <c r="D105" s="803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609"/>
      <c r="P105" s="609"/>
      <c r="Q105" s="609" t="s">
        <v>87</v>
      </c>
      <c r="R105" s="609"/>
      <c r="U105">
        <v>-13.369115784967001</v>
      </c>
      <c r="V105">
        <v>35</v>
      </c>
      <c r="W105">
        <v>250.53698420834201</v>
      </c>
      <c r="X105">
        <v>-85.999228516729005</v>
      </c>
      <c r="Y105">
        <v>30</v>
      </c>
      <c r="AA105" t="s">
        <v>90</v>
      </c>
      <c r="AB105" t="s">
        <v>91</v>
      </c>
      <c r="AC105">
        <v>30</v>
      </c>
      <c r="AD105">
        <v>-104.96084417881499</v>
      </c>
      <c r="AE105">
        <v>-12.452924479355</v>
      </c>
      <c r="AF105">
        <v>35</v>
      </c>
      <c r="AG105">
        <v>250.769245252106</v>
      </c>
      <c r="AH105">
        <v>-84.141910488828003</v>
      </c>
      <c r="AI105">
        <v>30</v>
      </c>
      <c r="AL105" t="s">
        <v>90</v>
      </c>
      <c r="AM105" t="s">
        <v>91</v>
      </c>
      <c r="AN105">
        <v>30</v>
      </c>
      <c r="AO105">
        <v>-106.017644692259</v>
      </c>
      <c r="AP105">
        <v>-6.6179225379999602</v>
      </c>
      <c r="AQ105">
        <v>35</v>
      </c>
      <c r="AR105">
        <v>251.23440761048701</v>
      </c>
      <c r="AS105">
        <v>-82.292379323679995</v>
      </c>
      <c r="AT105">
        <v>30</v>
      </c>
    </row>
    <row r="106" spans="2:46" hidden="1">
      <c r="B106" t="s">
        <v>88</v>
      </c>
      <c r="D106" s="803" t="s">
        <v>89</v>
      </c>
      <c r="E106" s="288" t="s">
        <v>123</v>
      </c>
      <c r="F106" s="288" t="s">
        <v>89</v>
      </c>
      <c r="G106" s="288" t="s">
        <v>123</v>
      </c>
      <c r="H106" s="288" t="s">
        <v>123</v>
      </c>
      <c r="I106" s="288" t="s">
        <v>123</v>
      </c>
      <c r="J106" s="288"/>
      <c r="K106" s="288"/>
      <c r="L106" s="288"/>
      <c r="M106" s="288"/>
      <c r="N106" s="288"/>
      <c r="O106" s="609" t="s">
        <v>89</v>
      </c>
      <c r="P106" s="609"/>
      <c r="Q106" s="609" t="s">
        <v>88</v>
      </c>
      <c r="R106" s="609"/>
      <c r="S106" t="s">
        <v>89</v>
      </c>
      <c r="T106" t="s">
        <v>123</v>
      </c>
      <c r="U106">
        <v>30</v>
      </c>
      <c r="V106">
        <v>12.000000884052699</v>
      </c>
      <c r="W106">
        <v>30</v>
      </c>
      <c r="X106">
        <v>1.0129999999999999</v>
      </c>
      <c r="Y106">
        <v>1.0129999999999999</v>
      </c>
      <c r="AA106" t="s">
        <v>92</v>
      </c>
      <c r="AB106" t="s">
        <v>93</v>
      </c>
      <c r="AC106">
        <v>1.0129999999999999</v>
      </c>
      <c r="AD106">
        <v>1.0129999999999999</v>
      </c>
      <c r="AE106">
        <v>30</v>
      </c>
      <c r="AF106">
        <v>6.0000003180819697</v>
      </c>
      <c r="AG106">
        <v>30</v>
      </c>
      <c r="AH106">
        <v>1.0129999999999999</v>
      </c>
      <c r="AI106">
        <v>1.0129999999999999</v>
      </c>
      <c r="AL106" t="s">
        <v>92</v>
      </c>
      <c r="AM106" t="s">
        <v>93</v>
      </c>
      <c r="AN106">
        <v>1.0129999999999999</v>
      </c>
      <c r="AO106">
        <v>1.0129999999999999</v>
      </c>
      <c r="AP106">
        <v>30</v>
      </c>
      <c r="AQ106">
        <v>3.5</v>
      </c>
      <c r="AR106">
        <v>30</v>
      </c>
      <c r="AS106">
        <v>1.0129999999999999</v>
      </c>
      <c r="AT106">
        <v>1.0129999999999999</v>
      </c>
    </row>
    <row r="107" spans="2:46" hidden="1">
      <c r="B107" t="s">
        <v>90</v>
      </c>
      <c r="C107" t="s">
        <v>91</v>
      </c>
      <c r="D107" s="803">
        <v>30</v>
      </c>
      <c r="E107" s="288">
        <v>-104.49696992598101</v>
      </c>
      <c r="F107" s="288">
        <v>-9</v>
      </c>
      <c r="G107" s="288">
        <v>35</v>
      </c>
      <c r="H107" s="288">
        <v>250.591824681026</v>
      </c>
      <c r="I107" s="288">
        <v>-86.904419054726006</v>
      </c>
      <c r="J107" s="288"/>
      <c r="K107" s="288"/>
      <c r="L107" s="288"/>
      <c r="M107" s="288"/>
      <c r="N107" s="288"/>
      <c r="O107" s="609">
        <v>30</v>
      </c>
      <c r="P107" s="609"/>
      <c r="Q107" s="609" t="s">
        <v>90</v>
      </c>
      <c r="R107" s="609" t="s">
        <v>91</v>
      </c>
      <c r="S107">
        <v>30</v>
      </c>
      <c r="T107">
        <v>-104.623955576773</v>
      </c>
      <c r="U107">
        <v>1</v>
      </c>
      <c r="V107">
        <v>0</v>
      </c>
      <c r="W107">
        <v>0</v>
      </c>
      <c r="X107">
        <v>0</v>
      </c>
      <c r="Y107">
        <v>1</v>
      </c>
      <c r="AA107" t="s">
        <v>94</v>
      </c>
      <c r="AC107">
        <v>1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1</v>
      </c>
      <c r="AL107" t="s">
        <v>94</v>
      </c>
      <c r="AN107">
        <v>1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1</v>
      </c>
    </row>
    <row r="108" spans="2:46" hidden="1">
      <c r="B108" t="s">
        <v>92</v>
      </c>
      <c r="C108" t="s">
        <v>93</v>
      </c>
      <c r="D108" s="803">
        <v>1.0129999999999999</v>
      </c>
      <c r="E108" s="288">
        <v>1.0129999999999999</v>
      </c>
      <c r="F108" s="288">
        <v>30</v>
      </c>
      <c r="G108" s="288">
        <v>20</v>
      </c>
      <c r="H108" s="288">
        <v>30</v>
      </c>
      <c r="I108" s="288">
        <v>1.0129999999999999</v>
      </c>
      <c r="J108" s="288"/>
      <c r="K108" s="288"/>
      <c r="L108" s="288"/>
      <c r="M108" s="288"/>
      <c r="N108" s="288"/>
      <c r="O108" s="609">
        <v>1.0129999999999999</v>
      </c>
      <c r="P108" s="609"/>
      <c r="Q108" s="548" t="s">
        <v>92</v>
      </c>
      <c r="R108" s="548" t="s">
        <v>93</v>
      </c>
      <c r="S108">
        <v>1.0129999999999999</v>
      </c>
      <c r="T108">
        <v>1.0129999999999999</v>
      </c>
      <c r="U108">
        <v>0</v>
      </c>
      <c r="V108">
        <v>1</v>
      </c>
      <c r="W108">
        <v>1</v>
      </c>
      <c r="X108">
        <v>1</v>
      </c>
      <c r="Y108">
        <v>0</v>
      </c>
      <c r="AA108" t="s">
        <v>95</v>
      </c>
      <c r="AC108">
        <v>0</v>
      </c>
      <c r="AD108">
        <v>1</v>
      </c>
      <c r="AE108">
        <v>0</v>
      </c>
      <c r="AF108">
        <v>1</v>
      </c>
      <c r="AG108">
        <v>1</v>
      </c>
      <c r="AH108">
        <v>1</v>
      </c>
      <c r="AI108">
        <v>0</v>
      </c>
      <c r="AL108" t="s">
        <v>95</v>
      </c>
      <c r="AN108">
        <v>0</v>
      </c>
      <c r="AO108">
        <v>1</v>
      </c>
      <c r="AP108">
        <v>0</v>
      </c>
      <c r="AQ108">
        <v>1</v>
      </c>
      <c r="AR108">
        <v>1</v>
      </c>
      <c r="AS108">
        <v>1</v>
      </c>
      <c r="AT108">
        <v>0</v>
      </c>
    </row>
    <row r="109" spans="2:46" hidden="1">
      <c r="B109" t="s">
        <v>94</v>
      </c>
      <c r="D109" s="803">
        <v>1</v>
      </c>
      <c r="E109" s="288">
        <v>0</v>
      </c>
      <c r="F109" s="288">
        <v>1</v>
      </c>
      <c r="G109" s="288">
        <v>0</v>
      </c>
      <c r="H109" s="288">
        <v>0</v>
      </c>
      <c r="I109" s="288">
        <v>0</v>
      </c>
      <c r="J109" s="288"/>
      <c r="K109" s="288"/>
      <c r="L109" s="288"/>
      <c r="M109" s="288"/>
      <c r="N109" s="288"/>
      <c r="O109" s="609">
        <v>1</v>
      </c>
      <c r="P109" s="609"/>
      <c r="Q109" s="548" t="s">
        <v>94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AA109" t="s">
        <v>96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L109" t="s">
        <v>96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2:46" hidden="1">
      <c r="B110" t="s">
        <v>95</v>
      </c>
      <c r="D110" s="803">
        <v>0</v>
      </c>
      <c r="E110" s="288">
        <v>1</v>
      </c>
      <c r="F110" s="288">
        <v>0</v>
      </c>
      <c r="G110" s="288">
        <v>1</v>
      </c>
      <c r="H110" s="288">
        <v>1</v>
      </c>
      <c r="I110" s="288">
        <v>1</v>
      </c>
      <c r="J110" s="288"/>
      <c r="K110" s="288"/>
      <c r="L110" s="288"/>
      <c r="M110" s="288"/>
      <c r="N110" s="288"/>
      <c r="O110" s="609">
        <v>0</v>
      </c>
      <c r="P110" s="609"/>
      <c r="Q110" s="548" t="s">
        <v>95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1</v>
      </c>
      <c r="AA110" t="s">
        <v>97</v>
      </c>
      <c r="AC110">
        <v>1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1</v>
      </c>
      <c r="AL110" t="s">
        <v>97</v>
      </c>
      <c r="AN110">
        <v>1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1</v>
      </c>
    </row>
    <row r="111" spans="2:46" hidden="1">
      <c r="B111" t="s">
        <v>96</v>
      </c>
      <c r="D111" s="803">
        <v>0</v>
      </c>
      <c r="E111" s="288">
        <v>0</v>
      </c>
      <c r="F111" s="288">
        <v>0</v>
      </c>
      <c r="G111" s="288">
        <v>0</v>
      </c>
      <c r="H111" s="288">
        <v>0</v>
      </c>
      <c r="I111" s="288">
        <v>0</v>
      </c>
      <c r="J111" s="288"/>
      <c r="K111" s="288"/>
      <c r="L111" s="288"/>
      <c r="M111" s="288"/>
      <c r="N111" s="288"/>
      <c r="O111" s="609">
        <v>0</v>
      </c>
      <c r="P111" s="609"/>
      <c r="Q111" s="548" t="s">
        <v>96</v>
      </c>
      <c r="S111">
        <v>0</v>
      </c>
      <c r="T111">
        <v>0</v>
      </c>
      <c r="U111">
        <v>0</v>
      </c>
      <c r="V111">
        <v>1</v>
      </c>
      <c r="W111">
        <v>1</v>
      </c>
      <c r="X111">
        <v>1</v>
      </c>
      <c r="Y111">
        <v>0</v>
      </c>
      <c r="AA111" t="s">
        <v>98</v>
      </c>
      <c r="AC111">
        <v>0</v>
      </c>
      <c r="AD111">
        <v>1</v>
      </c>
      <c r="AE111">
        <v>0</v>
      </c>
      <c r="AF111">
        <v>1</v>
      </c>
      <c r="AG111">
        <v>1</v>
      </c>
      <c r="AH111">
        <v>1</v>
      </c>
      <c r="AI111">
        <v>0</v>
      </c>
      <c r="AL111" t="s">
        <v>98</v>
      </c>
      <c r="AN111">
        <v>0</v>
      </c>
      <c r="AO111">
        <v>1</v>
      </c>
      <c r="AP111">
        <v>0</v>
      </c>
      <c r="AQ111">
        <v>1</v>
      </c>
      <c r="AR111">
        <v>1</v>
      </c>
      <c r="AS111">
        <v>1</v>
      </c>
      <c r="AT111">
        <v>0</v>
      </c>
    </row>
    <row r="112" spans="2:46" hidden="1">
      <c r="B112" t="s">
        <v>97</v>
      </c>
      <c r="D112" s="803">
        <v>1</v>
      </c>
      <c r="E112" s="288">
        <v>0</v>
      </c>
      <c r="F112" s="288">
        <v>1</v>
      </c>
      <c r="G112" s="288">
        <v>0</v>
      </c>
      <c r="H112" s="288">
        <v>0</v>
      </c>
      <c r="I112" s="288">
        <v>0</v>
      </c>
      <c r="J112" s="288"/>
      <c r="K112" s="288"/>
      <c r="L112" s="288"/>
      <c r="M112" s="288"/>
      <c r="N112" s="288"/>
      <c r="O112" s="609">
        <v>1</v>
      </c>
      <c r="P112" s="609"/>
      <c r="Q112" s="548" t="s">
        <v>97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AA112" t="s">
        <v>99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L112" t="s">
        <v>99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</row>
    <row r="113" spans="2:46" hidden="1">
      <c r="B113" t="s">
        <v>98</v>
      </c>
      <c r="D113" s="803">
        <v>0</v>
      </c>
      <c r="E113" s="288">
        <v>1</v>
      </c>
      <c r="F113" s="288">
        <v>0</v>
      </c>
      <c r="G113" s="288">
        <v>1</v>
      </c>
      <c r="H113" s="288">
        <v>1</v>
      </c>
      <c r="I113" s="288">
        <v>1</v>
      </c>
      <c r="J113" s="288"/>
      <c r="K113" s="288"/>
      <c r="L113" s="288"/>
      <c r="M113" s="288"/>
      <c r="N113" s="288"/>
      <c r="O113" s="609">
        <v>0</v>
      </c>
      <c r="P113" s="609"/>
      <c r="Q113" s="548" t="s">
        <v>98</v>
      </c>
      <c r="S113">
        <v>0</v>
      </c>
      <c r="T113">
        <v>1</v>
      </c>
      <c r="U113">
        <v>-0.90845462047065395</v>
      </c>
      <c r="V113">
        <v>22.758145963672</v>
      </c>
      <c r="W113">
        <v>20.9300410746288</v>
      </c>
      <c r="X113">
        <v>-20.131516805849799</v>
      </c>
      <c r="Y113">
        <v>-17.760466837021902</v>
      </c>
      <c r="AA113" t="s">
        <v>100</v>
      </c>
      <c r="AB113" t="s">
        <v>101</v>
      </c>
      <c r="AC113">
        <v>-17.760466837021902</v>
      </c>
      <c r="AD113">
        <v>8.0836637172713299</v>
      </c>
      <c r="AE113">
        <v>-0.90672641711169299</v>
      </c>
      <c r="AF113">
        <v>22.9074982167581</v>
      </c>
      <c r="AG113">
        <v>20.912245550773001</v>
      </c>
      <c r="AH113">
        <v>-18.621556758637301</v>
      </c>
      <c r="AI113">
        <v>-17.760466837021902</v>
      </c>
      <c r="AL113" t="s">
        <v>100</v>
      </c>
      <c r="AM113" t="s">
        <v>101</v>
      </c>
      <c r="AN113">
        <v>-17.760466837021902</v>
      </c>
      <c r="AO113">
        <v>8.0634513627159308</v>
      </c>
      <c r="AP113">
        <v>-0.87107243650611599</v>
      </c>
      <c r="AQ113">
        <v>22.9154388430639</v>
      </c>
      <c r="AR113">
        <v>20.821735289064701</v>
      </c>
      <c r="AS113">
        <v>-13.083581289345799</v>
      </c>
      <c r="AT113">
        <v>-17.760466837021902</v>
      </c>
    </row>
    <row r="114" spans="2:46" hidden="1">
      <c r="B114" t="s">
        <v>99</v>
      </c>
      <c r="D114" s="803">
        <v>0</v>
      </c>
      <c r="E114" s="288">
        <v>0</v>
      </c>
      <c r="F114" s="288">
        <v>0</v>
      </c>
      <c r="G114" s="288">
        <v>0</v>
      </c>
      <c r="H114" s="288">
        <v>0</v>
      </c>
      <c r="I114" s="288">
        <v>0</v>
      </c>
      <c r="J114" s="288"/>
      <c r="K114" s="288"/>
      <c r="L114" s="288"/>
      <c r="M114" s="288"/>
      <c r="N114" s="288"/>
      <c r="O114" s="609">
        <v>0</v>
      </c>
      <c r="P114" s="609"/>
      <c r="Q114" s="548" t="s">
        <v>99</v>
      </c>
      <c r="S114">
        <v>0</v>
      </c>
      <c r="T114">
        <v>0</v>
      </c>
      <c r="U114">
        <v>-360.64889246635602</v>
      </c>
      <c r="V114">
        <v>184.12830985014901</v>
      </c>
      <c r="W114">
        <v>267.02003955823301</v>
      </c>
      <c r="X114">
        <v>-614.45091649834205</v>
      </c>
      <c r="Y114">
        <v>-1107.0705313189201</v>
      </c>
      <c r="AA114" t="s">
        <v>102</v>
      </c>
      <c r="AB114" t="s">
        <v>103</v>
      </c>
      <c r="AC114">
        <v>-1107.0705313189201</v>
      </c>
      <c r="AD114">
        <v>288.40956338513899</v>
      </c>
      <c r="AE114">
        <v>-359.46052503571002</v>
      </c>
      <c r="AF114">
        <v>184.25396657570499</v>
      </c>
      <c r="AG114">
        <v>266.64595465111802</v>
      </c>
      <c r="AH114">
        <v>-553.58107505098405</v>
      </c>
      <c r="AI114">
        <v>-1107.0705313189201</v>
      </c>
      <c r="AL114" t="s">
        <v>102</v>
      </c>
      <c r="AM114" t="s">
        <v>103</v>
      </c>
      <c r="AN114">
        <v>-1107.0705313189201</v>
      </c>
      <c r="AO114">
        <v>288.03213247964101</v>
      </c>
      <c r="AP114">
        <v>-344.82167689012402</v>
      </c>
      <c r="AQ114">
        <v>183.97940513473799</v>
      </c>
      <c r="AR114">
        <v>264.83712931405398</v>
      </c>
      <c r="AS114">
        <v>-379.89785644028098</v>
      </c>
      <c r="AT114">
        <v>-1107.0705313189201</v>
      </c>
    </row>
    <row r="115" spans="2:46" hidden="1">
      <c r="B115" t="s">
        <v>100</v>
      </c>
      <c r="C115" t="s">
        <v>101</v>
      </c>
      <c r="D115" s="879">
        <v>-17.760466837021902</v>
      </c>
      <c r="E115">
        <v>8.1177708554358308</v>
      </c>
      <c r="F115">
        <v>-0.87448703062327704</v>
      </c>
      <c r="G115">
        <v>22.757835776948799</v>
      </c>
      <c r="H115">
        <v>20.965753280105499</v>
      </c>
      <c r="I115">
        <v>-21.166250846734702</v>
      </c>
      <c r="O115" s="548">
        <v>-17.760466837021902</v>
      </c>
      <c r="Q115" s="548" t="s">
        <v>100</v>
      </c>
      <c r="R115" s="548" t="s">
        <v>101</v>
      </c>
      <c r="S115">
        <v>-17.760466837021902</v>
      </c>
      <c r="T115">
        <v>8.1107993796006994</v>
      </c>
      <c r="U115">
        <v>-8.0993215622436807</v>
      </c>
      <c r="V115">
        <v>-81.158447982330898</v>
      </c>
      <c r="W115">
        <v>-38.039448050461097</v>
      </c>
      <c r="X115">
        <v>-63.671521568617599</v>
      </c>
      <c r="Y115">
        <v>-19.118113443029198</v>
      </c>
      <c r="AA115" t="s">
        <v>104</v>
      </c>
      <c r="AB115" t="s">
        <v>105</v>
      </c>
      <c r="AC115">
        <v>-19.118113443029198</v>
      </c>
      <c r="AD115">
        <v>-36.852334808121498</v>
      </c>
      <c r="AE115">
        <v>-8.0782856389881808</v>
      </c>
      <c r="AF115">
        <v>-81.600230798530603</v>
      </c>
      <c r="AG115">
        <v>-38.055130192360103</v>
      </c>
      <c r="AH115">
        <v>-63.277963749507101</v>
      </c>
      <c r="AI115">
        <v>-19.118113443029198</v>
      </c>
      <c r="AL115" t="s">
        <v>104</v>
      </c>
      <c r="AM115" t="s">
        <v>105</v>
      </c>
      <c r="AN115">
        <v>-19.118113443029198</v>
      </c>
      <c r="AO115">
        <v>-36.860745822832797</v>
      </c>
      <c r="AP115">
        <v>-7.9281758457348097</v>
      </c>
      <c r="AQ115">
        <v>-81.763986615586106</v>
      </c>
      <c r="AR115">
        <v>-38.156059912865302</v>
      </c>
      <c r="AS115">
        <v>-59.540991115253902</v>
      </c>
      <c r="AT115">
        <v>-19.118113443029198</v>
      </c>
    </row>
    <row r="116" spans="2:46" hidden="1">
      <c r="B116" t="s">
        <v>102</v>
      </c>
      <c r="C116" t="s">
        <v>103</v>
      </c>
      <c r="D116" s="879">
        <v>-1107.0705313189201</v>
      </c>
      <c r="E116">
        <v>289.48912326307902</v>
      </c>
      <c r="F116">
        <v>-347.54783788132897</v>
      </c>
      <c r="G116">
        <v>184.269957155398</v>
      </c>
      <c r="H116">
        <v>267.32635202498102</v>
      </c>
      <c r="I116">
        <v>-656.602719100267</v>
      </c>
      <c r="O116" s="548">
        <v>-1107.0705313189201</v>
      </c>
      <c r="Q116" s="548" t="s">
        <v>102</v>
      </c>
      <c r="R116" s="548" t="s">
        <v>103</v>
      </c>
      <c r="S116">
        <v>-1107.0705313189201</v>
      </c>
      <c r="T116">
        <v>289.27973191714199</v>
      </c>
      <c r="U116">
        <v>-3.2153629750253701</v>
      </c>
      <c r="V116">
        <v>-0.65662501158493802</v>
      </c>
      <c r="W116">
        <v>-0.485297419483809</v>
      </c>
      <c r="X116">
        <v>-1.94337193565627</v>
      </c>
      <c r="Y116">
        <v>-1.1916972792106399</v>
      </c>
      <c r="AA116" t="s">
        <v>106</v>
      </c>
      <c r="AB116" t="s">
        <v>107</v>
      </c>
      <c r="AC116">
        <v>-1.1916972792106399</v>
      </c>
      <c r="AD116">
        <v>-1.3148203789111801</v>
      </c>
      <c r="AE116">
        <v>-3.2025368869576298</v>
      </c>
      <c r="AF116">
        <v>-0.65634256765425403</v>
      </c>
      <c r="AG116">
        <v>-0.48522988575654702</v>
      </c>
      <c r="AH116">
        <v>-1.8811253888986199</v>
      </c>
      <c r="AI116">
        <v>-1.1916972792106399</v>
      </c>
      <c r="AL116" t="s">
        <v>106</v>
      </c>
      <c r="AM116" t="s">
        <v>107</v>
      </c>
      <c r="AN116">
        <v>-1.1916972792106399</v>
      </c>
      <c r="AO116">
        <v>-1.3166916679416201</v>
      </c>
      <c r="AP116">
        <v>-3.1384380623629702</v>
      </c>
      <c r="AQ116">
        <v>-0.65645217279063195</v>
      </c>
      <c r="AR116">
        <v>-0.48531696484324099</v>
      </c>
      <c r="AS116">
        <v>-1.72884582552594</v>
      </c>
      <c r="AT116">
        <v>-1.1916972792106399</v>
      </c>
    </row>
    <row r="117" spans="2:46" hidden="1">
      <c r="B117" t="s">
        <v>104</v>
      </c>
      <c r="C117" t="s">
        <v>105</v>
      </c>
      <c r="D117" s="879">
        <v>-19.118113443029198</v>
      </c>
      <c r="E117">
        <v>-36.824042385747397</v>
      </c>
      <c r="F117">
        <v>-7.9809293844384701</v>
      </c>
      <c r="G117">
        <v>-81.111507773035001</v>
      </c>
      <c r="H117">
        <v>-38.030661584742802</v>
      </c>
      <c r="I117">
        <v>-64.092301329879703</v>
      </c>
      <c r="O117" s="548">
        <v>-19.118113443029198</v>
      </c>
      <c r="Q117" s="548" t="s">
        <v>104</v>
      </c>
      <c r="R117" s="548" t="s">
        <v>105</v>
      </c>
      <c r="S117">
        <v>-19.118113443029198</v>
      </c>
      <c r="T117">
        <v>-36.830685669873397</v>
      </c>
      <c r="U117">
        <v>1.3775391683036</v>
      </c>
      <c r="V117">
        <v>7.8334849098759101</v>
      </c>
      <c r="W117">
        <v>6.6667164480368299</v>
      </c>
      <c r="X117">
        <v>18.920727160736</v>
      </c>
      <c r="Y117">
        <v>4.0272705388030197E-2</v>
      </c>
      <c r="AA117" t="s">
        <v>108</v>
      </c>
      <c r="AB117" t="s">
        <v>109</v>
      </c>
      <c r="AC117">
        <v>4.0272705388030197E-2</v>
      </c>
      <c r="AD117">
        <v>22.1047820305286</v>
      </c>
      <c r="AE117">
        <v>1.37266627661695</v>
      </c>
      <c r="AF117">
        <v>7.7945305853837903</v>
      </c>
      <c r="AG117">
        <v>6.6533633499514204</v>
      </c>
      <c r="AH117">
        <v>18.598233792407299</v>
      </c>
      <c r="AI117">
        <v>4.0272705388030197E-2</v>
      </c>
      <c r="AL117" t="s">
        <v>108</v>
      </c>
      <c r="AM117" t="s">
        <v>109</v>
      </c>
      <c r="AN117">
        <v>4.0272705388030197E-2</v>
      </c>
      <c r="AO117">
        <v>22.174187158969701</v>
      </c>
      <c r="AP117">
        <v>1.34235884372667</v>
      </c>
      <c r="AQ117">
        <v>7.7811278661400003</v>
      </c>
      <c r="AR117">
        <v>6.6262708903548901</v>
      </c>
      <c r="AS117">
        <v>18.419709651545901</v>
      </c>
      <c r="AT117">
        <v>4.0272705388030197E-2</v>
      </c>
    </row>
    <row r="118" spans="2:46" hidden="1">
      <c r="B118" t="s">
        <v>106</v>
      </c>
      <c r="C118" t="s">
        <v>107</v>
      </c>
      <c r="D118" s="879">
        <v>-1.1916972792106399</v>
      </c>
      <c r="E118">
        <v>-1.3131880580386399</v>
      </c>
      <c r="F118">
        <v>-3.1718649387724001</v>
      </c>
      <c r="G118">
        <v>-0.65675902614984205</v>
      </c>
      <c r="H118">
        <v>-0.48491451228671101</v>
      </c>
      <c r="I118">
        <v>-1.98822075913764</v>
      </c>
      <c r="O118" s="548">
        <v>-1.1916972792106399</v>
      </c>
      <c r="Q118" s="548" t="s">
        <v>106</v>
      </c>
      <c r="R118" s="548" t="s">
        <v>107</v>
      </c>
      <c r="S118">
        <v>-1.1916972792106399</v>
      </c>
      <c r="T118">
        <v>-1.31360305911426</v>
      </c>
      <c r="U118">
        <v>3.4699450032040402</v>
      </c>
      <c r="V118">
        <v>968.21392173895299</v>
      </c>
      <c r="W118">
        <v>522.56246130876502</v>
      </c>
      <c r="X118">
        <v>619.90783411303198</v>
      </c>
      <c r="Y118">
        <v>0.64608534709087495</v>
      </c>
      <c r="AA118" t="s">
        <v>110</v>
      </c>
      <c r="AB118" t="s">
        <v>111</v>
      </c>
      <c r="AC118">
        <v>0.64608534709087495</v>
      </c>
      <c r="AD118">
        <v>619.56206438188599</v>
      </c>
      <c r="AE118">
        <v>3.4625019666993802</v>
      </c>
      <c r="AF118">
        <v>969.06025310333405</v>
      </c>
      <c r="AG118">
        <v>521.80340892381298</v>
      </c>
      <c r="AH118">
        <v>625.61399185082803</v>
      </c>
      <c r="AI118">
        <v>0.64608534709087495</v>
      </c>
      <c r="AL118" t="s">
        <v>110</v>
      </c>
      <c r="AM118" t="s">
        <v>111</v>
      </c>
      <c r="AN118">
        <v>0.64608534709087495</v>
      </c>
      <c r="AO118">
        <v>620.76573931122198</v>
      </c>
      <c r="AP118">
        <v>3.3910042988483999</v>
      </c>
      <c r="AQ118">
        <v>969.17347686828202</v>
      </c>
      <c r="AR118">
        <v>520.96342680483599</v>
      </c>
      <c r="AS118">
        <v>634.36990882319299</v>
      </c>
      <c r="AT118">
        <v>0.64608534709087495</v>
      </c>
    </row>
    <row r="119" spans="2:46" hidden="1">
      <c r="B119" t="s">
        <v>108</v>
      </c>
      <c r="C119" t="s">
        <v>109</v>
      </c>
      <c r="D119" s="879">
        <v>4.0272705388030197E-2</v>
      </c>
      <c r="E119">
        <v>22.075924625763999</v>
      </c>
      <c r="F119">
        <v>1.35453160907823</v>
      </c>
      <c r="G119">
        <v>7.8388389704954102</v>
      </c>
      <c r="H119">
        <v>6.6742185670386798</v>
      </c>
      <c r="I119">
        <v>19.106431910704799</v>
      </c>
      <c r="O119" s="548">
        <v>4.0272705388030197E-2</v>
      </c>
      <c r="Q119" s="548" t="s">
        <v>108</v>
      </c>
      <c r="R119" s="548" t="s">
        <v>109</v>
      </c>
      <c r="S119">
        <v>4.0272705388030197E-2</v>
      </c>
      <c r="T119">
        <v>22.083970922586602</v>
      </c>
      <c r="U119">
        <v>-13.214990301995201</v>
      </c>
      <c r="V119">
        <v>0.49038996555383502</v>
      </c>
      <c r="W119">
        <v>4.7287966802441304</v>
      </c>
      <c r="X119">
        <v>-6.7716556341161098</v>
      </c>
      <c r="Y119">
        <v>-144.59039999365299</v>
      </c>
      <c r="AA119" t="s">
        <v>112</v>
      </c>
      <c r="AB119" t="s">
        <v>113</v>
      </c>
      <c r="AC119">
        <v>-234.20372408643999</v>
      </c>
      <c r="AD119">
        <v>33.282499255466803</v>
      </c>
      <c r="AE119">
        <v>-13.537877402632899</v>
      </c>
      <c r="AF119">
        <v>0.75930258158081299</v>
      </c>
      <c r="AG119">
        <v>6.2260218181260303</v>
      </c>
      <c r="AH119">
        <v>-5.4576951934904603</v>
      </c>
      <c r="AI119">
        <v>-120.654756478016</v>
      </c>
      <c r="AL119" t="s">
        <v>112</v>
      </c>
      <c r="AM119" t="s">
        <v>113</v>
      </c>
      <c r="AN119">
        <v>-234.20372408643999</v>
      </c>
      <c r="AO119">
        <v>30.820142950882701</v>
      </c>
      <c r="AP119">
        <v>-13.3701520596468</v>
      </c>
      <c r="AQ119">
        <v>1.0900817674311301</v>
      </c>
      <c r="AR119">
        <v>7.7476817777953002</v>
      </c>
      <c r="AS119">
        <v>-4.0528796711824899</v>
      </c>
      <c r="AT119">
        <v>-105.40157760685599</v>
      </c>
    </row>
    <row r="120" spans="2:46" hidden="1">
      <c r="B120" t="s">
        <v>110</v>
      </c>
      <c r="C120" t="s">
        <v>111</v>
      </c>
      <c r="D120" s="879">
        <v>0.64608534709087495</v>
      </c>
      <c r="E120">
        <v>619.04673831550804</v>
      </c>
      <c r="F120">
        <v>3.4082223958839601</v>
      </c>
      <c r="G120">
        <v>968.11771558635996</v>
      </c>
      <c r="H120">
        <v>523.44267130445996</v>
      </c>
      <c r="I120">
        <v>615.91510184757396</v>
      </c>
      <c r="O120" s="548">
        <v>0.64608534709087495</v>
      </c>
      <c r="Q120" s="548" t="s">
        <v>110</v>
      </c>
      <c r="R120" s="548" t="s">
        <v>111</v>
      </c>
      <c r="S120">
        <v>0.64608534709087495</v>
      </c>
      <c r="T120">
        <v>619.18841140705899</v>
      </c>
      <c r="U120">
        <v>2.5189447117334498</v>
      </c>
      <c r="V120">
        <v>123.59938557082</v>
      </c>
      <c r="W120">
        <v>78.383783888490697</v>
      </c>
      <c r="X120">
        <v>32.763425467043099</v>
      </c>
      <c r="Y120">
        <v>16.042760000000001</v>
      </c>
      <c r="AA120" t="s">
        <v>114</v>
      </c>
      <c r="AC120">
        <v>16.042760000000001</v>
      </c>
      <c r="AD120">
        <v>28.0284177209356</v>
      </c>
      <c r="AE120">
        <v>2.5224645098974801</v>
      </c>
      <c r="AF120">
        <v>124.325672019365</v>
      </c>
      <c r="AG120">
        <v>78.427012246012794</v>
      </c>
      <c r="AH120">
        <v>33.6383550628465</v>
      </c>
      <c r="AI120">
        <v>16.042760000000001</v>
      </c>
      <c r="AL120" t="s">
        <v>114</v>
      </c>
      <c r="AN120">
        <v>16.042760000000001</v>
      </c>
      <c r="AO120">
        <v>27.9949715793806</v>
      </c>
      <c r="AP120">
        <v>2.5261533566049001</v>
      </c>
      <c r="AQ120">
        <v>124.55436969307399</v>
      </c>
      <c r="AR120">
        <v>78.620906906046201</v>
      </c>
      <c r="AS120">
        <v>34.439734437939599</v>
      </c>
      <c r="AT120">
        <v>16.042760000000001</v>
      </c>
    </row>
    <row r="121" spans="2:46" hidden="1">
      <c r="B121" t="s">
        <v>112</v>
      </c>
      <c r="C121" t="s">
        <v>113</v>
      </c>
      <c r="D121" s="879">
        <v>-234.20372408643999</v>
      </c>
      <c r="E121">
        <v>36.079250620139298</v>
      </c>
      <c r="F121">
        <v>-11.9357836132135</v>
      </c>
      <c r="G121">
        <v>0.29382998543252198</v>
      </c>
      <c r="H121">
        <v>3.5181989065402202</v>
      </c>
      <c r="I121">
        <v>-9.3094847034557198</v>
      </c>
      <c r="O121" s="548">
        <v>-187.87325408701301</v>
      </c>
      <c r="Q121" s="548" t="s">
        <v>112</v>
      </c>
      <c r="R121" s="548" t="s">
        <v>113</v>
      </c>
      <c r="S121">
        <v>-234.20372408643999</v>
      </c>
      <c r="T121">
        <v>34.444904344688801</v>
      </c>
      <c r="U121">
        <v>14546.6708013976</v>
      </c>
      <c r="V121">
        <v>21.547887351483901</v>
      </c>
      <c r="W121">
        <v>225.93346393267899</v>
      </c>
      <c r="X121">
        <v>336.37086064714299</v>
      </c>
      <c r="Y121">
        <v>8141.1373541292796</v>
      </c>
      <c r="AA121" t="s">
        <v>115</v>
      </c>
      <c r="AB121" t="s">
        <v>116</v>
      </c>
      <c r="AC121">
        <v>13186.8</v>
      </c>
      <c r="AD121">
        <v>4117.2543069000103</v>
      </c>
      <c r="AE121">
        <v>14930.4984912172</v>
      </c>
      <c r="AF121">
        <v>33.146464725045298</v>
      </c>
      <c r="AG121">
        <v>297.72134240724301</v>
      </c>
      <c r="AH121">
        <v>293.08479759400302</v>
      </c>
      <c r="AI121">
        <v>6793.44510396034</v>
      </c>
      <c r="AL121" t="s">
        <v>115</v>
      </c>
      <c r="AM121" t="s">
        <v>116</v>
      </c>
      <c r="AN121">
        <v>13186.8</v>
      </c>
      <c r="AO121">
        <v>3822.2023752</v>
      </c>
      <c r="AP121">
        <v>15349.070294629701</v>
      </c>
      <c r="AQ121">
        <v>47.569753077675799</v>
      </c>
      <c r="AR121">
        <v>372.09587338593701</v>
      </c>
      <c r="AS121">
        <v>309.76837163711599</v>
      </c>
      <c r="AT121">
        <v>5934.6175173248103</v>
      </c>
    </row>
    <row r="122" spans="2:46" hidden="1">
      <c r="B122" t="s">
        <v>114</v>
      </c>
      <c r="D122" s="879">
        <v>16.042760000000001</v>
      </c>
      <c r="E122">
        <v>28.041712807491699</v>
      </c>
      <c r="F122">
        <v>2.5161630581683299</v>
      </c>
      <c r="G122">
        <v>123.502692073438</v>
      </c>
      <c r="H122">
        <v>78.427559128724994</v>
      </c>
      <c r="I122">
        <v>32.236008519335002</v>
      </c>
      <c r="O122" s="548">
        <v>16.042760000000001</v>
      </c>
      <c r="Q122" s="548" t="s">
        <v>114</v>
      </c>
      <c r="S122">
        <v>16.042760000000001</v>
      </c>
      <c r="T122">
        <v>28.037911006927601</v>
      </c>
      <c r="U122">
        <v>14025.086123589999</v>
      </c>
      <c r="V122">
        <v>7.67068956440322E-2</v>
      </c>
      <c r="W122" s="44">
        <v>1.11903225926675E-7</v>
      </c>
      <c r="X122" s="44">
        <v>2.8759212952509401E-134</v>
      </c>
      <c r="Y122" s="44">
        <v>0</v>
      </c>
      <c r="AA122" t="s">
        <v>132</v>
      </c>
      <c r="AB122" t="s">
        <v>116</v>
      </c>
      <c r="AC122">
        <v>0</v>
      </c>
      <c r="AD122" s="44">
        <v>7.0789822511500505E-11</v>
      </c>
      <c r="AE122">
        <v>14391.3685657142</v>
      </c>
      <c r="AF122">
        <v>5.5345459055150502E-2</v>
      </c>
      <c r="AG122" s="44">
        <v>1.6204384799971799E-7</v>
      </c>
      <c r="AH122" s="44">
        <v>7.2975431194966499E-153</v>
      </c>
      <c r="AI122" s="44">
        <v>0</v>
      </c>
      <c r="AJ122" s="44"/>
      <c r="AL122" t="s">
        <v>132</v>
      </c>
      <c r="AM122" t="s">
        <v>116</v>
      </c>
      <c r="AN122">
        <v>0</v>
      </c>
      <c r="AO122">
        <v>0</v>
      </c>
      <c r="AP122">
        <v>14790.749367525301</v>
      </c>
      <c r="AQ122">
        <v>3.9518311534625497E-2</v>
      </c>
      <c r="AR122" s="44">
        <v>1.11723291274274E-7</v>
      </c>
      <c r="AS122">
        <v>0</v>
      </c>
      <c r="AT122">
        <v>0</v>
      </c>
    </row>
    <row r="123" spans="2:46" hidden="1">
      <c r="B123" t="s">
        <v>115</v>
      </c>
      <c r="C123" t="s">
        <v>116</v>
      </c>
      <c r="D123" s="879">
        <v>13186.8</v>
      </c>
      <c r="E123">
        <v>4444.4775866</v>
      </c>
      <c r="F123">
        <v>13648.8972337377</v>
      </c>
      <c r="G123">
        <v>12.9111567687003</v>
      </c>
      <c r="H123">
        <v>167.80694018176001</v>
      </c>
      <c r="I123">
        <v>439.82681538010303</v>
      </c>
      <c r="O123" s="548">
        <v>10578.170934977299</v>
      </c>
      <c r="Q123" s="548" t="s">
        <v>115</v>
      </c>
      <c r="R123" s="548" t="s">
        <v>116</v>
      </c>
      <c r="S123">
        <v>13186.8</v>
      </c>
      <c r="T123">
        <v>4246.79525810002</v>
      </c>
      <c r="U123">
        <v>521.44229994075101</v>
      </c>
      <c r="V123">
        <v>8.9999658873481006E-2</v>
      </c>
      <c r="W123" s="44">
        <v>2.8220454528807198E-5</v>
      </c>
      <c r="X123" s="44">
        <v>5.0927409910261402E-56</v>
      </c>
      <c r="Y123" s="44">
        <v>8141.1373541292796</v>
      </c>
      <c r="AA123" t="s">
        <v>131</v>
      </c>
      <c r="AB123" t="s">
        <v>116</v>
      </c>
      <c r="AC123">
        <v>13186.8</v>
      </c>
      <c r="AD123">
        <v>8.7238503595220909</v>
      </c>
      <c r="AE123">
        <v>539.02602652882695</v>
      </c>
      <c r="AF123">
        <v>9.1174755666001903E-2</v>
      </c>
      <c r="AG123" s="44">
        <v>2.9493898621783902E-5</v>
      </c>
      <c r="AH123" s="44">
        <v>1.45272833682977E-64</v>
      </c>
      <c r="AI123" s="44">
        <v>6793.44510396034</v>
      </c>
      <c r="AJ123" s="44"/>
      <c r="AL123" t="s">
        <v>131</v>
      </c>
      <c r="AM123" t="s">
        <v>116</v>
      </c>
      <c r="AN123">
        <v>13186.8</v>
      </c>
      <c r="AO123">
        <v>17.6985383041307</v>
      </c>
      <c r="AP123">
        <v>558.26092320453301</v>
      </c>
      <c r="AQ123">
        <v>0.119008445081888</v>
      </c>
      <c r="AR123" s="44">
        <v>4.0767180216473598E-5</v>
      </c>
      <c r="AS123" s="44">
        <v>4.9209170586160796E-56</v>
      </c>
      <c r="AT123">
        <v>5934.6175173248103</v>
      </c>
    </row>
    <row r="124" spans="2:46" hidden="1">
      <c r="B124" t="s">
        <v>132</v>
      </c>
      <c r="C124" t="s">
        <v>116</v>
      </c>
      <c r="D124" s="879">
        <v>0</v>
      </c>
      <c r="E124" s="44">
        <v>1.18725094321223E-7</v>
      </c>
      <c r="F124">
        <v>13162.234967565</v>
      </c>
      <c r="G124">
        <v>7.8760752731053901E-2</v>
      </c>
      <c r="H124">
        <v>8.7547469289196798E-4</v>
      </c>
      <c r="I124" s="44">
        <v>2.7116737909561602E-127</v>
      </c>
      <c r="J124" s="44"/>
      <c r="K124" s="44"/>
      <c r="L124" s="44"/>
      <c r="M124" s="44"/>
      <c r="N124" s="44"/>
      <c r="O124" s="548">
        <v>0</v>
      </c>
      <c r="Q124" s="548" t="s">
        <v>132</v>
      </c>
      <c r="R124" s="548" t="s">
        <v>116</v>
      </c>
      <c r="S124">
        <v>0</v>
      </c>
      <c r="T124" s="44">
        <v>3.8855548595726499E-11</v>
      </c>
      <c r="U124">
        <v>4.77576147211847E-4</v>
      </c>
      <c r="V124">
        <v>6.2125504199641796E-3</v>
      </c>
      <c r="W124">
        <v>1.5267318017044001E-3</v>
      </c>
      <c r="X124">
        <v>274.10561471693597</v>
      </c>
      <c r="Y124">
        <v>0</v>
      </c>
      <c r="AA124" t="s">
        <v>133</v>
      </c>
      <c r="AB124" t="s">
        <v>116</v>
      </c>
      <c r="AC124">
        <v>0</v>
      </c>
      <c r="AD124">
        <v>0.21904034246581799</v>
      </c>
      <c r="AE124">
        <v>2.7552046456719501E-4</v>
      </c>
      <c r="AF124">
        <v>5.2251944992468703E-3</v>
      </c>
      <c r="AG124">
        <v>7.1496783414845002E-4</v>
      </c>
      <c r="AH124">
        <v>218.914115037328</v>
      </c>
      <c r="AI124">
        <v>0</v>
      </c>
      <c r="AL124" t="s">
        <v>133</v>
      </c>
      <c r="AM124" t="s">
        <v>116</v>
      </c>
      <c r="AN124">
        <v>0</v>
      </c>
      <c r="AO124" s="44">
        <v>2.2242824139628902E-6</v>
      </c>
      <c r="AP124">
        <v>1.3894338996618899E-4</v>
      </c>
      <c r="AQ124">
        <v>4.9075176350610898E-3</v>
      </c>
      <c r="AR124">
        <v>8.7170861287592396E-4</v>
      </c>
      <c r="AS124">
        <v>186.944415315253</v>
      </c>
      <c r="AT124">
        <v>0</v>
      </c>
    </row>
    <row r="125" spans="2:46" hidden="1">
      <c r="B125" t="s">
        <v>131</v>
      </c>
      <c r="C125" t="s">
        <v>116</v>
      </c>
      <c r="D125" s="879">
        <v>13186.8</v>
      </c>
      <c r="E125">
        <v>4.5836783840474098</v>
      </c>
      <c r="F125">
        <v>486.49930293766602</v>
      </c>
      <c r="G125">
        <v>7.5205774015324495E-2</v>
      </c>
      <c r="H125">
        <v>7.3964343857363998E-3</v>
      </c>
      <c r="I125" s="44">
        <v>2.1205745931937399E-54</v>
      </c>
      <c r="J125" s="44"/>
      <c r="K125" s="44"/>
      <c r="L125" s="44"/>
      <c r="M125" s="44"/>
      <c r="N125" s="44"/>
      <c r="O125" s="548">
        <v>10578.170934977299</v>
      </c>
      <c r="Q125" s="548" t="s">
        <v>131</v>
      </c>
      <c r="R125" s="548" t="s">
        <v>116</v>
      </c>
      <c r="S125">
        <v>13186.8</v>
      </c>
      <c r="T125">
        <v>5.6498925869116698</v>
      </c>
      <c r="U125">
        <v>0.14189995960006399</v>
      </c>
      <c r="V125">
        <v>6.85823956030817E-2</v>
      </c>
      <c r="W125">
        <v>4.2176509985352899E-3</v>
      </c>
      <c r="X125">
        <v>4.2380875020466604</v>
      </c>
      <c r="Y125">
        <v>0</v>
      </c>
      <c r="AA125" t="s">
        <v>134</v>
      </c>
      <c r="AB125" t="s">
        <v>116</v>
      </c>
      <c r="AC125">
        <v>0</v>
      </c>
      <c r="AD125">
        <v>4108.3114161979502</v>
      </c>
      <c r="AE125">
        <v>0.103623078556857</v>
      </c>
      <c r="AF125">
        <v>6.8169290128118107E-2</v>
      </c>
      <c r="AG125">
        <v>2.6188396003790902E-3</v>
      </c>
      <c r="AH125">
        <v>0.78854048666582</v>
      </c>
      <c r="AI125">
        <v>0</v>
      </c>
      <c r="AL125" t="s">
        <v>134</v>
      </c>
      <c r="AM125" t="s">
        <v>116</v>
      </c>
      <c r="AN125">
        <v>0</v>
      </c>
      <c r="AO125">
        <v>3798.48953727362</v>
      </c>
      <c r="AP125">
        <v>5.9855197243322597E-2</v>
      </c>
      <c r="AQ125">
        <v>6.8046686952610097E-2</v>
      </c>
      <c r="AR125">
        <v>3.2757720184493099E-3</v>
      </c>
      <c r="AS125">
        <v>3.8072348490138701</v>
      </c>
      <c r="AT125">
        <v>0</v>
      </c>
    </row>
    <row r="126" spans="2:46" hidden="1">
      <c r="B126" t="s">
        <v>133</v>
      </c>
      <c r="C126" t="s">
        <v>116</v>
      </c>
      <c r="D126" s="879">
        <v>0</v>
      </c>
      <c r="E126">
        <v>0.74959178003736504</v>
      </c>
      <c r="F126">
        <v>7.3660063701071698E-4</v>
      </c>
      <c r="G126">
        <v>6.0229198822498303E-3</v>
      </c>
      <c r="H126">
        <v>7.6574294661026299E-3</v>
      </c>
      <c r="I126">
        <v>377.97957893300702</v>
      </c>
      <c r="O126" s="548">
        <v>0</v>
      </c>
      <c r="Q126" s="548" t="s">
        <v>133</v>
      </c>
      <c r="R126" s="548" t="s">
        <v>116</v>
      </c>
      <c r="S126">
        <v>0</v>
      </c>
      <c r="T126">
        <v>0.27453580414164303</v>
      </c>
      <c r="U126">
        <v>0</v>
      </c>
      <c r="V126">
        <v>0</v>
      </c>
      <c r="W126">
        <v>0</v>
      </c>
      <c r="X126">
        <v>0</v>
      </c>
      <c r="Y126">
        <v>0</v>
      </c>
      <c r="AA126" t="s">
        <v>135</v>
      </c>
      <c r="AB126" t="s">
        <v>116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L126" t="s">
        <v>135</v>
      </c>
      <c r="AM126" t="s">
        <v>116</v>
      </c>
      <c r="AN126">
        <v>0</v>
      </c>
      <c r="AO126">
        <v>6.0142973979654704</v>
      </c>
      <c r="AP126" s="44">
        <v>9.3377659087968702E-6</v>
      </c>
      <c r="AQ126">
        <v>5.3891376334503705E-4</v>
      </c>
      <c r="AR126">
        <v>1.67824286188109E-4</v>
      </c>
      <c r="AS126">
        <v>12.680008137603499</v>
      </c>
      <c r="AT126">
        <v>0</v>
      </c>
    </row>
    <row r="127" spans="2:46" hidden="1">
      <c r="B127" t="s">
        <v>134</v>
      </c>
      <c r="C127" t="s">
        <v>116</v>
      </c>
      <c r="D127" s="879">
        <v>0</v>
      </c>
      <c r="E127">
        <v>4439.1443163171898</v>
      </c>
      <c r="F127">
        <v>0.162226329749147</v>
      </c>
      <c r="G127">
        <v>5.20159943788756E-2</v>
      </c>
      <c r="H127">
        <v>3.9133026499732299E-2</v>
      </c>
      <c r="I127">
        <v>6.33980302516943</v>
      </c>
      <c r="O127" s="548">
        <v>0</v>
      </c>
      <c r="Q127" s="548" t="s">
        <v>134</v>
      </c>
      <c r="R127" s="548" t="s">
        <v>116</v>
      </c>
      <c r="S127">
        <v>0</v>
      </c>
      <c r="T127">
        <v>4240.8708297089297</v>
      </c>
      <c r="U127" s="44">
        <v>3.3113333096166301E-7</v>
      </c>
      <c r="V127">
        <v>3.5996550162266001E-3</v>
      </c>
      <c r="W127">
        <v>0.16451508550573599</v>
      </c>
      <c r="X127">
        <v>51.992173700199203</v>
      </c>
      <c r="Y127">
        <v>0</v>
      </c>
      <c r="AA127" t="s">
        <v>165</v>
      </c>
      <c r="AB127" t="s">
        <v>116</v>
      </c>
      <c r="AC127">
        <v>0</v>
      </c>
      <c r="AD127" s="44">
        <v>1.15883727586739E-40</v>
      </c>
      <c r="AE127" s="44">
        <v>3.7519096993807701E-7</v>
      </c>
      <c r="AF127">
        <v>5.0999230431538001E-3</v>
      </c>
      <c r="AG127">
        <v>9.50175569451846E-2</v>
      </c>
      <c r="AH127">
        <v>68.777821502646106</v>
      </c>
      <c r="AI127">
        <v>0</v>
      </c>
      <c r="AL127" t="s">
        <v>165</v>
      </c>
      <c r="AM127" t="s">
        <v>116</v>
      </c>
      <c r="AN127">
        <v>0</v>
      </c>
      <c r="AO127" s="44">
        <v>1.3337915077088401E-52</v>
      </c>
      <c r="AP127" s="44">
        <v>4.2148191959958298E-7</v>
      </c>
      <c r="AQ127">
        <v>8.4791747534481102E-3</v>
      </c>
      <c r="AR127">
        <v>0.226621545107135</v>
      </c>
      <c r="AS127">
        <v>102.59104330396001</v>
      </c>
      <c r="AT127">
        <v>0</v>
      </c>
    </row>
    <row r="128" spans="2:46" hidden="1">
      <c r="B128" t="s">
        <v>135</v>
      </c>
      <c r="C128" t="s">
        <v>116</v>
      </c>
      <c r="D128" s="879">
        <v>0</v>
      </c>
      <c r="E128">
        <v>0</v>
      </c>
      <c r="F128">
        <v>0</v>
      </c>
      <c r="G128">
        <v>0</v>
      </c>
      <c r="H128">
        <v>0</v>
      </c>
      <c r="I128">
        <v>0</v>
      </c>
      <c r="O128" s="548">
        <v>0</v>
      </c>
      <c r="Q128" s="548" t="s">
        <v>135</v>
      </c>
      <c r="R128" s="548" t="s">
        <v>116</v>
      </c>
      <c r="S128">
        <v>0</v>
      </c>
      <c r="T128">
        <v>0</v>
      </c>
      <c r="U128" s="44">
        <v>1.31229733230747E-17</v>
      </c>
      <c r="V128">
        <v>1.3770124257057299</v>
      </c>
      <c r="W128">
        <v>222.20046646525401</v>
      </c>
      <c r="X128">
        <v>6.01847906292664</v>
      </c>
      <c r="Y128">
        <v>0</v>
      </c>
      <c r="AA128" t="s">
        <v>136</v>
      </c>
      <c r="AB128" t="s">
        <v>116</v>
      </c>
      <c r="AC128">
        <v>0</v>
      </c>
      <c r="AD128" s="44">
        <v>5.8131082653419803E-156</v>
      </c>
      <c r="AE128" s="44">
        <v>1.03559010446859E-17</v>
      </c>
      <c r="AF128">
        <v>1.96868156689857</v>
      </c>
      <c r="AG128">
        <v>291.91586729664698</v>
      </c>
      <c r="AH128">
        <v>4.5882589820943798</v>
      </c>
      <c r="AI128">
        <v>0</v>
      </c>
      <c r="AL128" t="s">
        <v>136</v>
      </c>
      <c r="AM128" t="s">
        <v>116</v>
      </c>
      <c r="AN128">
        <v>0</v>
      </c>
      <c r="AO128" s="44">
        <v>6.3576183443102896E-188</v>
      </c>
      <c r="AP128" s="44">
        <v>8.5017338819859498E-18</v>
      </c>
      <c r="AQ128">
        <v>2.70176258966266</v>
      </c>
      <c r="AR128">
        <v>359.18255783225902</v>
      </c>
      <c r="AS128">
        <v>3.7216673168159198</v>
      </c>
      <c r="AT128">
        <v>0</v>
      </c>
    </row>
    <row r="129" spans="2:46" hidden="1">
      <c r="B129" t="s">
        <v>165</v>
      </c>
      <c r="C129" t="s">
        <v>116</v>
      </c>
      <c r="D129" s="879">
        <v>0</v>
      </c>
      <c r="E129" s="44">
        <v>4.3277612147352698E-48</v>
      </c>
      <c r="F129" s="44">
        <v>3.0463021191060999E-7</v>
      </c>
      <c r="G129">
        <v>2.2335087177042202E-3</v>
      </c>
      <c r="H129">
        <v>2.9031193968853598E-2</v>
      </c>
      <c r="I129">
        <v>47.219745628194701</v>
      </c>
      <c r="O129" s="548">
        <v>0</v>
      </c>
      <c r="Q129" s="548" t="s">
        <v>165</v>
      </c>
      <c r="R129" s="548" t="s">
        <v>116</v>
      </c>
      <c r="S129">
        <v>0</v>
      </c>
      <c r="T129" s="44">
        <v>2.2024526713443099E-47</v>
      </c>
      <c r="U129" s="44">
        <v>3.3733425974732298E-21</v>
      </c>
      <c r="V129">
        <v>5.7589781298139298E-2</v>
      </c>
      <c r="W129">
        <v>3.0832863275435098</v>
      </c>
      <c r="X129">
        <v>1.6503327851893099E-2</v>
      </c>
      <c r="Y129">
        <v>0</v>
      </c>
      <c r="AA129" t="s">
        <v>797</v>
      </c>
      <c r="AB129" t="s">
        <v>116</v>
      </c>
      <c r="AC129">
        <v>0</v>
      </c>
      <c r="AD129" s="44">
        <v>2.7597932636339001E-216</v>
      </c>
      <c r="AE129" s="44">
        <v>5.69016138221469E-21</v>
      </c>
      <c r="AF129">
        <v>0.111233461877986</v>
      </c>
      <c r="AG129">
        <v>5.23985735764861</v>
      </c>
      <c r="AH129">
        <v>1.6060210821797299E-2</v>
      </c>
      <c r="AI129">
        <v>0</v>
      </c>
      <c r="AL129" t="s">
        <v>797</v>
      </c>
      <c r="AM129" t="s">
        <v>116</v>
      </c>
      <c r="AN129">
        <v>0</v>
      </c>
      <c r="AO129" s="44">
        <v>6.7067845045458904E-258</v>
      </c>
      <c r="AP129" s="44">
        <v>1.7224462959229499E-20</v>
      </c>
      <c r="AQ129">
        <v>0.29147802699505798</v>
      </c>
      <c r="AR129">
        <v>12.148347053808701</v>
      </c>
      <c r="AS129">
        <v>2.4001581209231401E-2</v>
      </c>
      <c r="AT129">
        <v>0</v>
      </c>
    </row>
    <row r="130" spans="2:46" hidden="1">
      <c r="B130" t="s">
        <v>136</v>
      </c>
      <c r="C130" t="s">
        <v>116</v>
      </c>
      <c r="D130" s="879">
        <v>0</v>
      </c>
      <c r="E130" s="44">
        <v>1.02450696823399E-185</v>
      </c>
      <c r="F130" s="44">
        <v>1.6379672859609699E-17</v>
      </c>
      <c r="G130">
        <v>0.70071975306046297</v>
      </c>
      <c r="H130">
        <v>165.16812368988101</v>
      </c>
      <c r="I130">
        <v>8.2679379493951508</v>
      </c>
      <c r="O130" s="548">
        <v>0</v>
      </c>
      <c r="Q130" s="548" t="s">
        <v>136</v>
      </c>
      <c r="R130" s="548" t="s">
        <v>116</v>
      </c>
      <c r="S130">
        <v>0</v>
      </c>
      <c r="T130" s="44">
        <v>5.56104012697111E-182</v>
      </c>
      <c r="U130">
        <v>0</v>
      </c>
      <c r="V130">
        <v>19.868183988923299</v>
      </c>
      <c r="W130">
        <v>0.47942333921800701</v>
      </c>
      <c r="X130" s="44">
        <v>2.3371820694023198E-6</v>
      </c>
      <c r="Y130" s="44">
        <v>0</v>
      </c>
      <c r="AA130" t="s">
        <v>137</v>
      </c>
      <c r="AB130" t="s">
        <v>116</v>
      </c>
      <c r="AC130">
        <v>0</v>
      </c>
      <c r="AD130">
        <v>0</v>
      </c>
      <c r="AE130">
        <v>0</v>
      </c>
      <c r="AF130">
        <v>30.841535073877001</v>
      </c>
      <c r="AG130">
        <v>0.46723673262537402</v>
      </c>
      <c r="AH130" s="44">
        <v>1.3744470937600299E-6</v>
      </c>
      <c r="AI130" s="44">
        <v>0</v>
      </c>
      <c r="AJ130" s="44"/>
      <c r="AL130" t="s">
        <v>137</v>
      </c>
      <c r="AM130" t="s">
        <v>116</v>
      </c>
      <c r="AN130">
        <v>0</v>
      </c>
      <c r="AO130">
        <v>0</v>
      </c>
      <c r="AP130">
        <v>0</v>
      </c>
      <c r="AQ130">
        <v>44.336013411297102</v>
      </c>
      <c r="AR130">
        <v>0.53399077094040004</v>
      </c>
      <c r="AS130" s="44">
        <v>1.1332604628642601E-6</v>
      </c>
      <c r="AT130">
        <v>0</v>
      </c>
    </row>
    <row r="131" spans="2:46" hidden="1">
      <c r="B131" t="s">
        <v>797</v>
      </c>
      <c r="C131" t="s">
        <v>116</v>
      </c>
      <c r="D131" s="879">
        <v>0</v>
      </c>
      <c r="E131" s="44">
        <v>9.8323016406650693E-258</v>
      </c>
      <c r="F131">
        <v>0</v>
      </c>
      <c r="G131">
        <v>2.4080805954782399E-2</v>
      </c>
      <c r="H131">
        <v>1.9790919706451799</v>
      </c>
      <c r="I131">
        <v>1.9744762263357099E-2</v>
      </c>
      <c r="O131" s="548">
        <v>0</v>
      </c>
      <c r="Q131" s="548" t="s">
        <v>797</v>
      </c>
      <c r="R131" s="548" t="s">
        <v>116</v>
      </c>
      <c r="S131">
        <v>0</v>
      </c>
      <c r="T131" s="44">
        <v>2.5536242921231001E-252</v>
      </c>
      <c r="U131">
        <v>0</v>
      </c>
      <c r="V131">
        <v>0</v>
      </c>
      <c r="W131">
        <v>0</v>
      </c>
      <c r="X131">
        <v>0</v>
      </c>
      <c r="Y131">
        <v>0</v>
      </c>
      <c r="AA131" t="s">
        <v>91</v>
      </c>
      <c r="AB131" t="s">
        <v>116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L131" t="s">
        <v>91</v>
      </c>
      <c r="AM131" t="s">
        <v>116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2:46" hidden="1">
      <c r="B132" t="s">
        <v>137</v>
      </c>
      <c r="C132" t="s">
        <v>116</v>
      </c>
      <c r="D132" s="879">
        <v>0</v>
      </c>
      <c r="E132">
        <v>0</v>
      </c>
      <c r="F132">
        <v>0</v>
      </c>
      <c r="G132">
        <v>11.9721172599599</v>
      </c>
      <c r="H132">
        <v>0.57563096222101096</v>
      </c>
      <c r="I132" s="44">
        <v>5.0820735187922501E-6</v>
      </c>
      <c r="J132" s="44"/>
      <c r="K132" s="44"/>
      <c r="L132" s="44"/>
      <c r="M132" s="44"/>
      <c r="N132" s="44"/>
      <c r="O132" s="548">
        <v>0</v>
      </c>
      <c r="Q132" s="548" t="s">
        <v>137</v>
      </c>
      <c r="R132" s="548" t="s">
        <v>116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AA132" t="s">
        <v>166</v>
      </c>
      <c r="AB132" t="s">
        <v>116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L132" t="s">
        <v>166</v>
      </c>
      <c r="AM132" t="s">
        <v>116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2:46" hidden="1">
      <c r="B133" t="s">
        <v>91</v>
      </c>
      <c r="C133" t="s">
        <v>116</v>
      </c>
      <c r="D133" s="879">
        <v>0</v>
      </c>
      <c r="E133">
        <v>0</v>
      </c>
      <c r="F133">
        <v>0</v>
      </c>
      <c r="G133">
        <v>0</v>
      </c>
      <c r="H133">
        <v>0</v>
      </c>
      <c r="I133">
        <v>0</v>
      </c>
      <c r="O133" s="548">
        <v>0</v>
      </c>
      <c r="Q133" s="548" t="s">
        <v>91</v>
      </c>
      <c r="R133" s="548" t="s">
        <v>116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AA133" t="s">
        <v>167</v>
      </c>
      <c r="AB133" t="s">
        <v>116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L133" t="s">
        <v>167</v>
      </c>
      <c r="AM133" t="s">
        <v>116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2:46" hidden="1">
      <c r="B134" t="s">
        <v>166</v>
      </c>
      <c r="C134" t="s">
        <v>116</v>
      </c>
      <c r="D134" s="879">
        <v>0</v>
      </c>
      <c r="E134">
        <v>0</v>
      </c>
      <c r="F134">
        <v>0</v>
      </c>
      <c r="G134">
        <v>0</v>
      </c>
      <c r="H134">
        <v>0</v>
      </c>
      <c r="I134">
        <v>0</v>
      </c>
      <c r="O134" s="548">
        <v>0</v>
      </c>
      <c r="Q134" s="548" t="s">
        <v>166</v>
      </c>
      <c r="R134" s="548" t="s">
        <v>116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AA134" t="s">
        <v>168</v>
      </c>
      <c r="AB134" t="s">
        <v>116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L134" t="s">
        <v>168</v>
      </c>
      <c r="AM134" t="s">
        <v>116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2:46" hidden="1">
      <c r="B135" t="s">
        <v>167</v>
      </c>
      <c r="C135" t="s">
        <v>116</v>
      </c>
      <c r="D135" s="879">
        <v>0</v>
      </c>
      <c r="E135">
        <v>0</v>
      </c>
      <c r="F135">
        <v>0</v>
      </c>
      <c r="G135">
        <v>0</v>
      </c>
      <c r="H135">
        <v>0</v>
      </c>
      <c r="I135">
        <v>0</v>
      </c>
      <c r="O135" s="548">
        <v>0</v>
      </c>
      <c r="Q135" s="548" t="s">
        <v>167</v>
      </c>
      <c r="R135" s="548" t="s">
        <v>116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AA135" t="s">
        <v>849</v>
      </c>
      <c r="AB135" t="s">
        <v>116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L135" t="s">
        <v>849</v>
      </c>
      <c r="AM135" t="s">
        <v>116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2:46" hidden="1">
      <c r="B136" t="s">
        <v>168</v>
      </c>
      <c r="C136" t="s">
        <v>116</v>
      </c>
      <c r="D136" s="879">
        <v>0</v>
      </c>
      <c r="E136">
        <v>0</v>
      </c>
      <c r="F136">
        <v>0</v>
      </c>
      <c r="G136">
        <v>0</v>
      </c>
      <c r="H136">
        <v>0</v>
      </c>
      <c r="I136">
        <v>0</v>
      </c>
      <c r="O136" s="548">
        <v>0</v>
      </c>
      <c r="Q136" s="548" t="s">
        <v>168</v>
      </c>
      <c r="R136" s="548" t="s">
        <v>116</v>
      </c>
      <c r="S136">
        <v>0</v>
      </c>
      <c r="T136">
        <v>0</v>
      </c>
      <c r="U136">
        <v>0</v>
      </c>
      <c r="V136">
        <v>0</v>
      </c>
      <c r="W136" s="44">
        <v>0</v>
      </c>
      <c r="X136" s="44">
        <v>0</v>
      </c>
      <c r="Y136" s="44">
        <v>0</v>
      </c>
      <c r="AA136" t="s">
        <v>850</v>
      </c>
      <c r="AB136" t="s">
        <v>116</v>
      </c>
      <c r="AC136">
        <v>0</v>
      </c>
      <c r="AD136" s="44">
        <v>0</v>
      </c>
      <c r="AE136">
        <v>0</v>
      </c>
      <c r="AF136">
        <v>0</v>
      </c>
      <c r="AG136" s="44">
        <v>0</v>
      </c>
      <c r="AH136" s="44">
        <v>0</v>
      </c>
      <c r="AI136" s="44">
        <v>0</v>
      </c>
      <c r="AJ136" s="44"/>
      <c r="AL136" t="s">
        <v>850</v>
      </c>
      <c r="AM136" t="s">
        <v>116</v>
      </c>
      <c r="AN136">
        <v>0</v>
      </c>
      <c r="AO136">
        <v>0</v>
      </c>
      <c r="AP136">
        <v>0</v>
      </c>
      <c r="AQ136">
        <v>0</v>
      </c>
      <c r="AR136" s="44">
        <v>0</v>
      </c>
      <c r="AS136">
        <v>0</v>
      </c>
      <c r="AT136">
        <v>0</v>
      </c>
    </row>
    <row r="137" spans="2:46" hidden="1">
      <c r="B137" t="s">
        <v>849</v>
      </c>
      <c r="C137" t="s">
        <v>116</v>
      </c>
      <c r="D137" s="879">
        <v>0</v>
      </c>
      <c r="E137">
        <v>0</v>
      </c>
      <c r="F137">
        <v>0</v>
      </c>
      <c r="G137">
        <v>0</v>
      </c>
      <c r="H137">
        <v>0</v>
      </c>
      <c r="I137">
        <v>0</v>
      </c>
      <c r="O137" s="548">
        <v>0</v>
      </c>
      <c r="Q137" s="548" t="s">
        <v>849</v>
      </c>
      <c r="R137" s="548" t="s">
        <v>116</v>
      </c>
      <c r="S137">
        <v>0</v>
      </c>
      <c r="T137">
        <v>0</v>
      </c>
      <c r="W137" s="44"/>
      <c r="X137" s="44"/>
      <c r="Y137" s="44"/>
      <c r="AA137" t="s">
        <v>117</v>
      </c>
      <c r="AG137" s="44"/>
      <c r="AH137" s="44"/>
      <c r="AI137" s="44"/>
      <c r="AJ137" s="44"/>
      <c r="AL137" t="s">
        <v>117</v>
      </c>
      <c r="AR137" s="44"/>
      <c r="AS137" s="44"/>
    </row>
    <row r="138" spans="2:46" hidden="1">
      <c r="B138" t="s">
        <v>850</v>
      </c>
      <c r="C138" t="s">
        <v>116</v>
      </c>
      <c r="D138" s="879">
        <v>0</v>
      </c>
      <c r="E138" s="44">
        <v>0</v>
      </c>
      <c r="F138">
        <v>0</v>
      </c>
      <c r="G138">
        <v>0</v>
      </c>
      <c r="H138" s="44">
        <v>0</v>
      </c>
      <c r="I138" s="44">
        <v>0</v>
      </c>
      <c r="J138" s="44"/>
      <c r="K138" s="44"/>
      <c r="L138" s="44"/>
      <c r="M138" s="44"/>
      <c r="N138" s="44"/>
      <c r="O138" s="548">
        <v>0</v>
      </c>
      <c r="Q138" s="548" t="s">
        <v>850</v>
      </c>
      <c r="R138" s="548" t="s">
        <v>116</v>
      </c>
      <c r="S138">
        <v>0</v>
      </c>
      <c r="T138" s="44">
        <v>0</v>
      </c>
      <c r="U138" s="44">
        <v>0.96414405158893701</v>
      </c>
      <c r="V138">
        <v>3.5598337040104199E-3</v>
      </c>
      <c r="W138" s="44">
        <v>4.9529283523940103E-10</v>
      </c>
      <c r="X138" s="44">
        <v>8.54985265286643E-137</v>
      </c>
      <c r="Y138">
        <v>0</v>
      </c>
      <c r="AA138" t="s">
        <v>132</v>
      </c>
      <c r="AC138">
        <v>0</v>
      </c>
      <c r="AD138" s="44">
        <v>1.71934539950242E-14</v>
      </c>
      <c r="AE138" s="44">
        <v>0.963890694887369</v>
      </c>
      <c r="AF138">
        <v>1.6697243435838201E-3</v>
      </c>
      <c r="AG138" s="44">
        <v>5.4428025444700299E-10</v>
      </c>
      <c r="AH138" s="44">
        <v>2.48990844267726E-155</v>
      </c>
      <c r="AI138">
        <v>0</v>
      </c>
      <c r="AL138" t="s">
        <v>132</v>
      </c>
      <c r="AN138">
        <v>0</v>
      </c>
      <c r="AO138" s="44">
        <v>0</v>
      </c>
      <c r="AP138" s="44">
        <v>0.96362509804259899</v>
      </c>
      <c r="AQ138">
        <v>8.3074451679614105E-4</v>
      </c>
      <c r="AR138" s="44">
        <v>3.0025404543628199E-10</v>
      </c>
      <c r="AS138">
        <v>0</v>
      </c>
      <c r="AT138">
        <v>0</v>
      </c>
    </row>
    <row r="139" spans="2:46" hidden="1">
      <c r="B139" t="s">
        <v>117</v>
      </c>
      <c r="H139" s="44"/>
      <c r="I139" s="44"/>
      <c r="J139" s="44"/>
      <c r="K139" s="44"/>
      <c r="L139" s="44"/>
      <c r="M139" s="44"/>
      <c r="N139" s="44"/>
      <c r="Q139" s="548" t="s">
        <v>117</v>
      </c>
      <c r="U139" s="44">
        <v>3.5846160751135801E-2</v>
      </c>
      <c r="V139">
        <v>4.1767277415845202E-3</v>
      </c>
      <c r="W139" s="44">
        <v>1.24906041086574E-7</v>
      </c>
      <c r="X139" s="44">
        <v>1.51402561483127E-58</v>
      </c>
      <c r="Y139">
        <v>1</v>
      </c>
      <c r="AA139" t="s">
        <v>131</v>
      </c>
      <c r="AC139">
        <v>1</v>
      </c>
      <c r="AD139">
        <v>2.11885147461064E-3</v>
      </c>
      <c r="AE139" s="44">
        <v>3.6102346271017403E-2</v>
      </c>
      <c r="AF139">
        <v>2.7506630472453001E-3</v>
      </c>
      <c r="AG139" s="44">
        <v>9.9065449535156801E-8</v>
      </c>
      <c r="AH139" s="44">
        <v>4.9566826691644702E-67</v>
      </c>
      <c r="AI139">
        <v>1</v>
      </c>
      <c r="AL139" t="s">
        <v>131</v>
      </c>
      <c r="AN139">
        <v>1</v>
      </c>
      <c r="AO139">
        <v>4.6304555768595596E-3</v>
      </c>
      <c r="AP139" s="44">
        <v>3.63709926717748E-2</v>
      </c>
      <c r="AQ139">
        <v>2.5017671394585899E-3</v>
      </c>
      <c r="AR139" s="44">
        <v>1.09560957624999E-7</v>
      </c>
      <c r="AS139" s="44">
        <v>1.5885795675682401E-58</v>
      </c>
      <c r="AT139">
        <v>1</v>
      </c>
    </row>
    <row r="140" spans="2:46" hidden="1">
      <c r="B140" t="s">
        <v>132</v>
      </c>
      <c r="D140" s="879">
        <v>0</v>
      </c>
      <c r="E140" s="44">
        <v>2.67129470242299E-11</v>
      </c>
      <c r="F140" s="44">
        <v>0.96434420614071803</v>
      </c>
      <c r="G140">
        <v>6.1002088458865702E-3</v>
      </c>
      <c r="H140" s="44">
        <v>5.2171542603881498E-6</v>
      </c>
      <c r="I140" s="44">
        <v>6.1653216587367603E-130</v>
      </c>
      <c r="J140" s="44"/>
      <c r="K140" s="44"/>
      <c r="L140" s="44"/>
      <c r="M140" s="44"/>
      <c r="N140" s="44"/>
      <c r="O140" s="548">
        <v>0</v>
      </c>
      <c r="Q140" s="548" t="s">
        <v>132</v>
      </c>
      <c r="S140">
        <v>0</v>
      </c>
      <c r="T140" s="44">
        <v>9.1493811766923095E-15</v>
      </c>
      <c r="U140" s="44">
        <v>3.2830614903718299E-8</v>
      </c>
      <c r="V140">
        <v>2.88313667072162E-4</v>
      </c>
      <c r="W140" s="44">
        <v>6.7574398901763501E-6</v>
      </c>
      <c r="X140">
        <v>0.81489108238919805</v>
      </c>
      <c r="Y140">
        <v>0</v>
      </c>
      <c r="AA140" t="s">
        <v>133</v>
      </c>
      <c r="AC140">
        <v>0</v>
      </c>
      <c r="AD140" s="44">
        <v>5.3200586152459298E-5</v>
      </c>
      <c r="AE140" s="44">
        <v>1.84535342024426E-8</v>
      </c>
      <c r="AF140">
        <v>1.57639571598076E-4</v>
      </c>
      <c r="AG140" s="44">
        <v>2.4014665135107098E-6</v>
      </c>
      <c r="AH140">
        <v>0.74693097982031698</v>
      </c>
      <c r="AI140">
        <v>0</v>
      </c>
      <c r="AL140" t="s">
        <v>133</v>
      </c>
      <c r="AN140">
        <v>0</v>
      </c>
      <c r="AO140" s="44">
        <v>5.8193737422040704E-10</v>
      </c>
      <c r="AP140" s="44">
        <v>9.0522349105927502E-9</v>
      </c>
      <c r="AQ140" s="44">
        <v>1.0316466488795299E-4</v>
      </c>
      <c r="AR140" s="44">
        <v>2.3426989526750002E-6</v>
      </c>
      <c r="AS140">
        <v>0.60349742721394495</v>
      </c>
      <c r="AT140">
        <v>0</v>
      </c>
    </row>
    <row r="141" spans="2:46" hidden="1">
      <c r="B141" t="s">
        <v>131</v>
      </c>
      <c r="D141" s="879">
        <v>1</v>
      </c>
      <c r="E141">
        <v>1.0313199458733E-3</v>
      </c>
      <c r="F141" s="44">
        <v>3.5643854196156198E-2</v>
      </c>
      <c r="G141">
        <v>5.8248672340220501E-3</v>
      </c>
      <c r="H141" s="44">
        <v>4.40770469786587E-5</v>
      </c>
      <c r="I141" s="44">
        <v>4.8213854158962998E-57</v>
      </c>
      <c r="J141" s="44"/>
      <c r="K141" s="44"/>
      <c r="L141" s="44"/>
      <c r="M141" s="44"/>
      <c r="N141" s="44"/>
      <c r="O141" s="548">
        <v>1</v>
      </c>
      <c r="Q141" s="548" t="s">
        <v>131</v>
      </c>
      <c r="S141">
        <v>1</v>
      </c>
      <c r="T141">
        <v>1.3303896805798401E-3</v>
      </c>
      <c r="U141" s="44">
        <v>9.7548065490305102E-6</v>
      </c>
      <c r="V141">
        <v>3.1827897781523699E-3</v>
      </c>
      <c r="W141" s="44">
        <v>1.8667668459206298E-5</v>
      </c>
      <c r="X141">
        <v>1.25994489947584E-2</v>
      </c>
      <c r="Y141">
        <v>0</v>
      </c>
      <c r="AA141" t="s">
        <v>134</v>
      </c>
      <c r="AC141">
        <v>0</v>
      </c>
      <c r="AD141" s="44">
        <v>0.99782794793922003</v>
      </c>
      <c r="AE141" s="44">
        <v>6.9403629502265196E-6</v>
      </c>
      <c r="AF141">
        <v>2.0566081690337802E-3</v>
      </c>
      <c r="AG141" s="44">
        <v>8.7962776843752906E-6</v>
      </c>
      <c r="AH141">
        <v>2.6904858018536601E-3</v>
      </c>
      <c r="AI141">
        <v>0</v>
      </c>
      <c r="AL141" t="s">
        <v>134</v>
      </c>
      <c r="AN141">
        <v>0</v>
      </c>
      <c r="AO141" s="44">
        <v>0.99379602763050001</v>
      </c>
      <c r="AP141" s="44">
        <v>3.8995975713437604E-6</v>
      </c>
      <c r="AQ141">
        <v>1.4304612185288799E-3</v>
      </c>
      <c r="AR141" s="44">
        <v>8.8035698666609098E-6</v>
      </c>
      <c r="AS141">
        <v>1.2290586120502701E-2</v>
      </c>
      <c r="AT141">
        <v>0</v>
      </c>
    </row>
    <row r="142" spans="2:46" hidden="1">
      <c r="B142" t="s">
        <v>133</v>
      </c>
      <c r="D142" s="879">
        <v>0</v>
      </c>
      <c r="E142">
        <v>1.68656892836487E-4</v>
      </c>
      <c r="F142" s="44">
        <v>5.3967776619342403E-8</v>
      </c>
      <c r="G142">
        <v>4.6648956326289899E-4</v>
      </c>
      <c r="H142" s="44">
        <v>4.5632376454802701E-5</v>
      </c>
      <c r="I142">
        <v>0.85938275183688595</v>
      </c>
      <c r="O142" s="548">
        <v>0</v>
      </c>
      <c r="Q142" s="548" t="s">
        <v>133</v>
      </c>
      <c r="S142">
        <v>0</v>
      </c>
      <c r="T142" s="44">
        <v>6.4645406113707498E-5</v>
      </c>
      <c r="U142" s="44">
        <v>0</v>
      </c>
      <c r="V142">
        <v>0</v>
      </c>
      <c r="W142">
        <v>0</v>
      </c>
      <c r="X142">
        <v>0</v>
      </c>
      <c r="Y142">
        <v>0</v>
      </c>
      <c r="AA142" t="s">
        <v>135</v>
      </c>
      <c r="AC142">
        <v>0</v>
      </c>
      <c r="AD142" s="44">
        <v>0</v>
      </c>
      <c r="AE142" s="44">
        <v>0</v>
      </c>
      <c r="AF142">
        <v>0</v>
      </c>
      <c r="AG142">
        <v>0</v>
      </c>
      <c r="AH142">
        <v>0</v>
      </c>
      <c r="AI142">
        <v>0</v>
      </c>
      <c r="AL142" t="s">
        <v>135</v>
      </c>
      <c r="AN142">
        <v>0</v>
      </c>
      <c r="AO142" s="44">
        <v>1.5735162107032E-3</v>
      </c>
      <c r="AP142" s="44">
        <v>6.0836035861168395E-10</v>
      </c>
      <c r="AQ142" s="44">
        <v>1.1328916558912E-5</v>
      </c>
      <c r="AR142" s="44">
        <v>4.5102431440845798E-7</v>
      </c>
      <c r="AS142">
        <v>4.0933837339784097E-2</v>
      </c>
      <c r="AT142">
        <v>0</v>
      </c>
    </row>
    <row r="143" spans="2:46" hidden="1">
      <c r="B143" t="s">
        <v>134</v>
      </c>
      <c r="D143" s="879">
        <v>0</v>
      </c>
      <c r="E143" s="44">
        <v>0.99880002313457705</v>
      </c>
      <c r="F143" s="44">
        <v>1.1885673030649801E-5</v>
      </c>
      <c r="G143">
        <v>4.0287632867238203E-3</v>
      </c>
      <c r="H143">
        <v>2.33202670028697E-4</v>
      </c>
      <c r="I143">
        <v>1.4414316734395799E-2</v>
      </c>
      <c r="O143" s="548">
        <v>0</v>
      </c>
      <c r="Q143" s="548" t="s">
        <v>134</v>
      </c>
      <c r="S143">
        <v>0</v>
      </c>
      <c r="T143" s="44">
        <v>0.99860496491329698</v>
      </c>
      <c r="U143" s="44">
        <v>2.27635130733727E-11</v>
      </c>
      <c r="V143">
        <v>1.67053732809621E-4</v>
      </c>
      <c r="W143">
        <v>7.2815723108090105E-4</v>
      </c>
      <c r="X143" s="44">
        <v>0.154568007467031</v>
      </c>
      <c r="Y143" s="44">
        <v>0</v>
      </c>
      <c r="AA143" t="s">
        <v>165</v>
      </c>
      <c r="AC143">
        <v>0</v>
      </c>
      <c r="AD143" s="44">
        <v>2.8145875612427499E-44</v>
      </c>
      <c r="AE143" s="44">
        <v>2.5129165657715998E-11</v>
      </c>
      <c r="AF143">
        <v>1.53860240766501E-4</v>
      </c>
      <c r="AG143">
        <v>3.1914929637531097E-4</v>
      </c>
      <c r="AH143" s="44">
        <v>0.234668676325958</v>
      </c>
      <c r="AI143" s="44">
        <v>0</v>
      </c>
      <c r="AJ143" s="44"/>
      <c r="AL143" t="s">
        <v>165</v>
      </c>
      <c r="AN143">
        <v>0</v>
      </c>
      <c r="AO143" s="44">
        <v>3.48958892486443E-56</v>
      </c>
      <c r="AP143" s="44">
        <v>2.7459768670617799E-11</v>
      </c>
      <c r="AQ143">
        <v>1.7824718870418799E-4</v>
      </c>
      <c r="AR143">
        <v>6.0904073739104204E-4</v>
      </c>
      <c r="AS143" s="44">
        <v>0.33118630789118297</v>
      </c>
      <c r="AT143">
        <v>0</v>
      </c>
    </row>
    <row r="144" spans="2:46" hidden="1">
      <c r="B144" t="s">
        <v>135</v>
      </c>
      <c r="D144" s="879">
        <v>0</v>
      </c>
      <c r="E144" s="44">
        <v>0</v>
      </c>
      <c r="F144" s="44">
        <v>0</v>
      </c>
      <c r="G144">
        <v>0</v>
      </c>
      <c r="H144">
        <v>0</v>
      </c>
      <c r="I144">
        <v>0</v>
      </c>
      <c r="O144" s="548">
        <v>0</v>
      </c>
      <c r="Q144" s="548" t="s">
        <v>135</v>
      </c>
      <c r="S144">
        <v>0</v>
      </c>
      <c r="T144" s="44">
        <v>0</v>
      </c>
      <c r="U144" s="44">
        <v>9.0212898210454305E-22</v>
      </c>
      <c r="V144">
        <v>6.3904753317308605E-2</v>
      </c>
      <c r="W144">
        <v>0.98347744772975498</v>
      </c>
      <c r="X144" s="44">
        <v>1.7892391306868E-2</v>
      </c>
      <c r="Y144" s="44">
        <v>0</v>
      </c>
      <c r="AA144" t="s">
        <v>136</v>
      </c>
      <c r="AC144">
        <v>0</v>
      </c>
      <c r="AD144" s="44">
        <v>1.4118895341489901E-159</v>
      </c>
      <c r="AE144" s="44">
        <v>6.9360718604121999E-22</v>
      </c>
      <c r="AF144">
        <v>5.9393409922568599E-2</v>
      </c>
      <c r="AG144">
        <v>0.98050030587778603</v>
      </c>
      <c r="AH144" s="44">
        <v>1.5655056214994401E-2</v>
      </c>
      <c r="AI144" s="44">
        <v>0</v>
      </c>
      <c r="AJ144" s="44"/>
      <c r="AL144" t="s">
        <v>136</v>
      </c>
      <c r="AN144">
        <v>0</v>
      </c>
      <c r="AO144" s="44">
        <v>1.6633390177247299E-191</v>
      </c>
      <c r="AP144" s="44">
        <v>5.5389243249218302E-22</v>
      </c>
      <c r="AQ144">
        <v>5.67958085729603E-2</v>
      </c>
      <c r="AR144">
        <v>0.96529573027464399</v>
      </c>
      <c r="AS144" s="44">
        <v>1.2014355426756501E-2</v>
      </c>
      <c r="AT144">
        <v>0</v>
      </c>
    </row>
    <row r="145" spans="2:46" hidden="1">
      <c r="B145" t="s">
        <v>165</v>
      </c>
      <c r="D145" s="879">
        <v>0</v>
      </c>
      <c r="E145" s="44">
        <v>9.7373901215822699E-52</v>
      </c>
      <c r="F145" s="44">
        <v>2.2319034768436599E-11</v>
      </c>
      <c r="G145">
        <v>1.72990597025262E-4</v>
      </c>
      <c r="H145">
        <v>1.7300353571436601E-4</v>
      </c>
      <c r="I145" s="44">
        <v>0.107359860692866</v>
      </c>
      <c r="J145" s="44"/>
      <c r="K145" s="44"/>
      <c r="L145" s="44"/>
      <c r="M145" s="44"/>
      <c r="N145" s="44"/>
      <c r="O145" s="548">
        <v>0</v>
      </c>
      <c r="Q145" s="548" t="s">
        <v>165</v>
      </c>
      <c r="S145">
        <v>0</v>
      </c>
      <c r="T145" s="44">
        <v>5.1861522336013701E-51</v>
      </c>
      <c r="U145" s="44">
        <v>2.3189791283027701E-25</v>
      </c>
      <c r="V145">
        <v>2.6726416543185298E-3</v>
      </c>
      <c r="W145">
        <v>1.36468775978322E-2</v>
      </c>
      <c r="X145" s="44">
        <v>4.9062893914598802E-5</v>
      </c>
      <c r="Y145">
        <v>0</v>
      </c>
      <c r="AA145" t="s">
        <v>797</v>
      </c>
      <c r="AC145">
        <v>0</v>
      </c>
      <c r="AD145" s="44">
        <v>6.7029944179275596E-220</v>
      </c>
      <c r="AE145" s="44">
        <v>3.8110993986985E-25</v>
      </c>
      <c r="AF145">
        <v>3.3558167605711202E-3</v>
      </c>
      <c r="AG145">
        <v>1.7599871461284701E-2</v>
      </c>
      <c r="AH145" s="44">
        <v>5.4797147288563199E-5</v>
      </c>
      <c r="AI145">
        <v>0</v>
      </c>
      <c r="AL145" t="s">
        <v>797</v>
      </c>
      <c r="AN145">
        <v>0</v>
      </c>
      <c r="AO145" s="44">
        <v>1.7546911037631699E-261</v>
      </c>
      <c r="AP145" s="44">
        <v>1.1221828181512701E-24</v>
      </c>
      <c r="AQ145">
        <v>6.1273815426182397E-3</v>
      </c>
      <c r="AR145">
        <v>3.2648432629104898E-2</v>
      </c>
      <c r="AS145" s="44">
        <v>7.7482349416061299E-5</v>
      </c>
      <c r="AT145">
        <v>0</v>
      </c>
    </row>
    <row r="146" spans="2:46" hidden="1">
      <c r="B146" t="s">
        <v>136</v>
      </c>
      <c r="D146" s="879">
        <v>0</v>
      </c>
      <c r="E146" s="44">
        <v>2.3051234892551901E-189</v>
      </c>
      <c r="F146" s="44">
        <v>1.2000729860520901E-21</v>
      </c>
      <c r="G146">
        <v>5.4272422340899198E-2</v>
      </c>
      <c r="H146">
        <v>0.98427468798953599</v>
      </c>
      <c r="I146" s="44">
        <v>1.8798167051842701E-2</v>
      </c>
      <c r="J146" s="44"/>
      <c r="K146" s="44"/>
      <c r="L146" s="44"/>
      <c r="M146" s="44"/>
      <c r="N146" s="44"/>
      <c r="O146" s="548">
        <v>0</v>
      </c>
      <c r="Q146" s="548" t="s">
        <v>136</v>
      </c>
      <c r="S146">
        <v>0</v>
      </c>
      <c r="T146" s="44">
        <v>1.30946744285927E-185</v>
      </c>
      <c r="U146">
        <v>0</v>
      </c>
      <c r="V146">
        <v>0.922047886404744</v>
      </c>
      <c r="W146">
        <v>2.1219669316487801E-3</v>
      </c>
      <c r="X146" s="44">
        <v>6.9482298939504602E-9</v>
      </c>
      <c r="Y146">
        <v>0</v>
      </c>
      <c r="AA146" t="s">
        <v>137</v>
      </c>
      <c r="AC146">
        <v>0</v>
      </c>
      <c r="AD146">
        <v>0</v>
      </c>
      <c r="AE146">
        <v>0</v>
      </c>
      <c r="AF146">
        <v>0.93046227794463299</v>
      </c>
      <c r="AG146">
        <v>1.56937601062626E-3</v>
      </c>
      <c r="AH146" s="44">
        <v>4.6895884912597396E-9</v>
      </c>
      <c r="AI146">
        <v>0</v>
      </c>
      <c r="AL146" t="s">
        <v>137</v>
      </c>
      <c r="AN146">
        <v>0</v>
      </c>
      <c r="AO146">
        <v>0</v>
      </c>
      <c r="AP146">
        <v>0</v>
      </c>
      <c r="AQ146">
        <v>0.93202109623948703</v>
      </c>
      <c r="AR146">
        <v>1.43508920451409E-3</v>
      </c>
      <c r="AS146" s="44">
        <v>3.65841243531422E-9</v>
      </c>
      <c r="AT146">
        <v>0</v>
      </c>
    </row>
    <row r="147" spans="2:46" hidden="1">
      <c r="B147" t="s">
        <v>797</v>
      </c>
      <c r="D147" s="879">
        <v>0</v>
      </c>
      <c r="E147" s="44">
        <v>2.2122513724243398E-261</v>
      </c>
      <c r="F147">
        <v>0</v>
      </c>
      <c r="G147">
        <v>1.8651160686980401E-3</v>
      </c>
      <c r="H147">
        <v>1.17938624499173E-2</v>
      </c>
      <c r="I147" s="44">
        <v>4.4892129294784999E-5</v>
      </c>
      <c r="J147" s="44"/>
      <c r="K147" s="44"/>
      <c r="L147" s="44"/>
      <c r="M147" s="44"/>
      <c r="N147" s="44"/>
      <c r="O147" s="548">
        <v>0</v>
      </c>
      <c r="Q147" s="548" t="s">
        <v>797</v>
      </c>
      <c r="S147">
        <v>0</v>
      </c>
      <c r="T147" s="44">
        <v>6.0130619371219004E-256</v>
      </c>
      <c r="U147">
        <v>0</v>
      </c>
      <c r="V147">
        <v>0</v>
      </c>
      <c r="W147">
        <v>0</v>
      </c>
      <c r="X147">
        <v>0</v>
      </c>
      <c r="Y147">
        <v>0</v>
      </c>
      <c r="AA147" t="s">
        <v>91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L147" t="s">
        <v>91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2:46" hidden="1">
      <c r="B148" t="s">
        <v>137</v>
      </c>
      <c r="D148" s="879">
        <v>0</v>
      </c>
      <c r="E148">
        <v>0</v>
      </c>
      <c r="F148">
        <v>0</v>
      </c>
      <c r="G148">
        <v>0.92726914206348199</v>
      </c>
      <c r="H148">
        <v>3.4303167771101502E-3</v>
      </c>
      <c r="I148" s="44">
        <v>1.1554715040282999E-8</v>
      </c>
      <c r="J148" s="44"/>
      <c r="K148" s="44"/>
      <c r="L148" s="44"/>
      <c r="M148" s="44"/>
      <c r="N148" s="44"/>
      <c r="O148" s="548">
        <v>0</v>
      </c>
      <c r="Q148" s="548" t="s">
        <v>137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AA148" t="s">
        <v>166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L148" t="s">
        <v>166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2:46" hidden="1">
      <c r="B149" t="s">
        <v>91</v>
      </c>
      <c r="D149" s="879">
        <v>0</v>
      </c>
      <c r="E149">
        <v>0</v>
      </c>
      <c r="F149">
        <v>0</v>
      </c>
      <c r="G149">
        <v>0</v>
      </c>
      <c r="H149">
        <v>0</v>
      </c>
      <c r="I149">
        <v>0</v>
      </c>
      <c r="O149" s="548">
        <v>0</v>
      </c>
      <c r="Q149" s="548" t="s">
        <v>91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AA149" t="s">
        <v>167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L149" t="s">
        <v>167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2:46" hidden="1">
      <c r="B150" t="s">
        <v>166</v>
      </c>
      <c r="D150" s="879">
        <v>0</v>
      </c>
      <c r="E150">
        <v>0</v>
      </c>
      <c r="F150">
        <v>0</v>
      </c>
      <c r="G150">
        <v>0</v>
      </c>
      <c r="H150">
        <v>0</v>
      </c>
      <c r="I150">
        <v>0</v>
      </c>
      <c r="O150" s="548">
        <v>0</v>
      </c>
      <c r="Q150" s="548" t="s">
        <v>166</v>
      </c>
      <c r="S150">
        <v>0</v>
      </c>
      <c r="T150">
        <v>0</v>
      </c>
      <c r="U150">
        <v>0</v>
      </c>
      <c r="V150">
        <v>0</v>
      </c>
      <c r="W150" s="44">
        <v>0</v>
      </c>
      <c r="X150" s="44">
        <v>0</v>
      </c>
      <c r="Y150" s="44">
        <v>0</v>
      </c>
      <c r="AA150" t="s">
        <v>168</v>
      </c>
      <c r="AC150">
        <v>0</v>
      </c>
      <c r="AD150" s="44">
        <v>0</v>
      </c>
      <c r="AE150">
        <v>0</v>
      </c>
      <c r="AF150">
        <v>0</v>
      </c>
      <c r="AG150" s="44">
        <v>0</v>
      </c>
      <c r="AH150" s="44">
        <v>0</v>
      </c>
      <c r="AI150" s="44">
        <v>0</v>
      </c>
      <c r="AJ150" s="44"/>
      <c r="AL150" t="s">
        <v>168</v>
      </c>
      <c r="AN150">
        <v>0</v>
      </c>
      <c r="AO150">
        <v>0</v>
      </c>
      <c r="AP150">
        <v>0</v>
      </c>
      <c r="AQ150">
        <v>0</v>
      </c>
      <c r="AR150" s="44">
        <v>0</v>
      </c>
      <c r="AS150">
        <v>0</v>
      </c>
      <c r="AT150">
        <v>0</v>
      </c>
    </row>
    <row r="151" spans="2:46" hidden="1">
      <c r="B151" t="s">
        <v>167</v>
      </c>
      <c r="D151" s="879">
        <v>0</v>
      </c>
      <c r="E151">
        <v>0</v>
      </c>
      <c r="F151">
        <v>0</v>
      </c>
      <c r="G151">
        <v>0</v>
      </c>
      <c r="H151">
        <v>0</v>
      </c>
      <c r="I151">
        <v>0</v>
      </c>
      <c r="O151" s="548">
        <v>0</v>
      </c>
      <c r="Q151" s="548" t="s">
        <v>167</v>
      </c>
      <c r="S151">
        <v>0</v>
      </c>
      <c r="T151">
        <v>0</v>
      </c>
      <c r="U151">
        <v>0</v>
      </c>
      <c r="V151">
        <v>0</v>
      </c>
      <c r="W151">
        <v>0</v>
      </c>
      <c r="X151" s="44">
        <v>0</v>
      </c>
      <c r="Y151" s="44">
        <v>0</v>
      </c>
      <c r="AA151" t="s">
        <v>849</v>
      </c>
      <c r="AC151">
        <v>0</v>
      </c>
      <c r="AD151">
        <v>0</v>
      </c>
      <c r="AE151">
        <v>0</v>
      </c>
      <c r="AF151">
        <v>0</v>
      </c>
      <c r="AG151">
        <v>0</v>
      </c>
      <c r="AH151" s="44">
        <v>0</v>
      </c>
      <c r="AI151" s="44">
        <v>0</v>
      </c>
      <c r="AJ151" s="44"/>
      <c r="AL151" t="s">
        <v>849</v>
      </c>
      <c r="AN151">
        <v>0</v>
      </c>
      <c r="AO151">
        <v>0</v>
      </c>
      <c r="AP151">
        <v>0</v>
      </c>
      <c r="AQ151">
        <v>0</v>
      </c>
      <c r="AR151">
        <v>0</v>
      </c>
      <c r="AS151" s="44">
        <v>0</v>
      </c>
      <c r="AT151">
        <v>0</v>
      </c>
    </row>
    <row r="152" spans="2:46" hidden="1">
      <c r="B152" t="s">
        <v>168</v>
      </c>
      <c r="D152" s="879">
        <v>0</v>
      </c>
      <c r="E152" s="44">
        <v>0</v>
      </c>
      <c r="F152">
        <v>0</v>
      </c>
      <c r="G152">
        <v>0</v>
      </c>
      <c r="H152">
        <v>0</v>
      </c>
      <c r="I152" s="44">
        <v>0</v>
      </c>
      <c r="J152" s="44"/>
      <c r="K152" s="44"/>
      <c r="L152" s="44"/>
      <c r="M152" s="44"/>
      <c r="N152" s="44"/>
      <c r="O152" s="548">
        <v>0</v>
      </c>
      <c r="Q152" s="548" t="s">
        <v>168</v>
      </c>
      <c r="S152">
        <v>0</v>
      </c>
      <c r="T152" s="44">
        <v>0</v>
      </c>
      <c r="U152">
        <v>0</v>
      </c>
      <c r="V152">
        <v>0</v>
      </c>
      <c r="W152">
        <v>0</v>
      </c>
      <c r="X152">
        <v>0</v>
      </c>
      <c r="Y152">
        <v>0</v>
      </c>
      <c r="AA152" t="s">
        <v>850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L152" t="s">
        <v>850</v>
      </c>
      <c r="AN152">
        <v>0</v>
      </c>
      <c r="AO152" s="44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2:46" hidden="1">
      <c r="B153" t="s">
        <v>849</v>
      </c>
      <c r="D153" s="879">
        <v>0</v>
      </c>
      <c r="E153">
        <v>0</v>
      </c>
      <c r="F153">
        <v>0</v>
      </c>
      <c r="G153">
        <v>0</v>
      </c>
      <c r="H153">
        <v>0</v>
      </c>
      <c r="I153" s="44">
        <v>0</v>
      </c>
      <c r="J153" s="44"/>
      <c r="K153" s="44"/>
      <c r="L153" s="44"/>
      <c r="M153" s="44"/>
      <c r="N153" s="44"/>
      <c r="O153" s="548">
        <v>0</v>
      </c>
      <c r="Q153" s="548" t="s">
        <v>849</v>
      </c>
      <c r="S153">
        <v>0</v>
      </c>
      <c r="T153">
        <v>0</v>
      </c>
      <c r="U153">
        <v>36642.2594885078</v>
      </c>
      <c r="V153">
        <v>2663.3056369926599</v>
      </c>
      <c r="W153">
        <v>17709.5198100772</v>
      </c>
      <c r="X153">
        <v>11020.661622097799</v>
      </c>
      <c r="Y153">
        <v>130606.312699331</v>
      </c>
      <c r="AA153" t="s">
        <v>118</v>
      </c>
      <c r="AB153" t="s">
        <v>119</v>
      </c>
      <c r="AC153">
        <v>211552.667568</v>
      </c>
      <c r="AD153">
        <v>115400.12357711499</v>
      </c>
      <c r="AE153">
        <v>37661.652559173199</v>
      </c>
      <c r="AF153">
        <v>4120.9565020074297</v>
      </c>
      <c r="AG153">
        <v>23349.395366872199</v>
      </c>
      <c r="AH153">
        <v>9858.8904849896007</v>
      </c>
      <c r="AI153">
        <v>108985.60937601099</v>
      </c>
      <c r="AL153" t="s">
        <v>118</v>
      </c>
      <c r="AM153" t="s">
        <v>119</v>
      </c>
      <c r="AN153">
        <v>211552.667568</v>
      </c>
      <c r="AO153">
        <v>107002.446864365</v>
      </c>
      <c r="AP153">
        <v>38774.105445543501</v>
      </c>
      <c r="AQ153">
        <v>5925.0206110450599</v>
      </c>
      <c r="AR153">
        <v>29254.5150215996</v>
      </c>
      <c r="AS153">
        <v>10668.3404564553</v>
      </c>
      <c r="AT153">
        <v>95207.644522237606</v>
      </c>
    </row>
    <row r="154" spans="2:46" hidden="1">
      <c r="B154" t="s">
        <v>850</v>
      </c>
      <c r="D154" s="879">
        <v>0</v>
      </c>
      <c r="E154">
        <v>0</v>
      </c>
      <c r="F154">
        <v>0</v>
      </c>
      <c r="G154">
        <v>0</v>
      </c>
      <c r="H154">
        <v>0</v>
      </c>
      <c r="I154">
        <v>0</v>
      </c>
      <c r="O154" s="548">
        <v>0</v>
      </c>
      <c r="Q154" s="548" t="s">
        <v>850</v>
      </c>
      <c r="S154">
        <v>0</v>
      </c>
      <c r="T154">
        <v>0</v>
      </c>
      <c r="U154">
        <v>28272.8906148225</v>
      </c>
      <c r="V154">
        <v>0.15463189679089201</v>
      </c>
      <c r="W154" s="44">
        <v>2.25583475081067E-7</v>
      </c>
      <c r="X154" s="44">
        <v>5.7975122206704601E-134</v>
      </c>
      <c r="Y154">
        <v>0</v>
      </c>
      <c r="AA154" t="s">
        <v>132</v>
      </c>
      <c r="AB154" t="s">
        <v>119</v>
      </c>
      <c r="AC154">
        <v>0</v>
      </c>
      <c r="AD154" s="44">
        <v>1.42703787404483E-10</v>
      </c>
      <c r="AE154">
        <v>29011.272064251902</v>
      </c>
      <c r="AF154">
        <v>0.111569804000097</v>
      </c>
      <c r="AG154" s="44">
        <v>3.26660952305671E-7</v>
      </c>
      <c r="AH154" s="44">
        <v>1.47109712237309E-152</v>
      </c>
      <c r="AI154">
        <v>0</v>
      </c>
      <c r="AL154" t="s">
        <v>132</v>
      </c>
      <c r="AM154" t="s">
        <v>119</v>
      </c>
      <c r="AN154">
        <v>0</v>
      </c>
      <c r="AO154">
        <v>0</v>
      </c>
      <c r="AP154">
        <v>29816.3758350069</v>
      </c>
      <c r="AQ154">
        <v>7.9664173856421105E-2</v>
      </c>
      <c r="AR154" s="44">
        <v>2.25220748413983E-7</v>
      </c>
      <c r="AS154">
        <v>0</v>
      </c>
      <c r="AT154">
        <v>0</v>
      </c>
    </row>
    <row r="155" spans="2:46" hidden="1">
      <c r="B155" t="s">
        <v>118</v>
      </c>
      <c r="C155" t="s">
        <v>119</v>
      </c>
      <c r="D155" s="879">
        <v>211552.667568</v>
      </c>
      <c r="E155">
        <v>124630.76406277101</v>
      </c>
      <c r="F155">
        <v>34342.851004266697</v>
      </c>
      <c r="G155">
        <v>1594.5626187166799</v>
      </c>
      <c r="H155">
        <v>13160.688723315399</v>
      </c>
      <c r="I155">
        <v>14178.260967624899</v>
      </c>
      <c r="O155" s="548">
        <v>169703.05754881701</v>
      </c>
      <c r="Q155" s="548" t="s">
        <v>118</v>
      </c>
      <c r="R155" s="548" t="s">
        <v>119</v>
      </c>
      <c r="S155">
        <v>211552.667568</v>
      </c>
      <c r="T155">
        <v>119071.26751125</v>
      </c>
      <c r="U155" s="44">
        <v>8365.3736717975098</v>
      </c>
      <c r="V155">
        <v>1.44384292738913</v>
      </c>
      <c r="W155">
        <v>4.5273397909656801E-4</v>
      </c>
      <c r="X155" s="44">
        <v>8.1701621461194795E-55</v>
      </c>
      <c r="Y155">
        <v>130606.312699331</v>
      </c>
      <c r="AA155" t="s">
        <v>131</v>
      </c>
      <c r="AB155" t="s">
        <v>119</v>
      </c>
      <c r="AC155">
        <v>211552.667568</v>
      </c>
      <c r="AD155" s="44">
        <v>139.954637593727</v>
      </c>
      <c r="AE155" s="44">
        <v>8647.4651773555906</v>
      </c>
      <c r="AF155">
        <v>1.4626947232083101</v>
      </c>
      <c r="AG155">
        <v>4.7316353705360902E-4</v>
      </c>
      <c r="AH155" s="44">
        <v>2.33057720529592E-63</v>
      </c>
      <c r="AI155">
        <v>108985.60937601099</v>
      </c>
      <c r="AL155" t="s">
        <v>131</v>
      </c>
      <c r="AM155" t="s">
        <v>119</v>
      </c>
      <c r="AN155">
        <v>211552.667568</v>
      </c>
      <c r="AO155" s="44">
        <v>283.93340236397597</v>
      </c>
      <c r="AP155" s="44">
        <v>8956.0460083487706</v>
      </c>
      <c r="AQ155">
        <v>1.9092239224219201</v>
      </c>
      <c r="AR155">
        <v>6.5401808808963305E-4</v>
      </c>
      <c r="AS155" s="44">
        <v>7.8945091351283597E-55</v>
      </c>
      <c r="AT155">
        <v>95207.644522237606</v>
      </c>
    </row>
    <row r="156" spans="2:46" hidden="1">
      <c r="B156" t="s">
        <v>132</v>
      </c>
      <c r="C156" t="s">
        <v>119</v>
      </c>
      <c r="D156" s="879">
        <v>0</v>
      </c>
      <c r="E156" s="44">
        <v>2.3933554314026702E-7</v>
      </c>
      <c r="F156">
        <v>26533.486226415</v>
      </c>
      <c r="G156">
        <v>0.15877222621547701</v>
      </c>
      <c r="H156">
        <v>1.76485192390707E-3</v>
      </c>
      <c r="I156" s="44">
        <v>5.4664089617126998E-127</v>
      </c>
      <c r="J156" s="44"/>
      <c r="K156" s="44"/>
      <c r="L156" s="44"/>
      <c r="M156" s="44"/>
      <c r="N156" s="44"/>
      <c r="O156" s="548">
        <v>0</v>
      </c>
      <c r="Q156" s="548" t="s">
        <v>132</v>
      </c>
      <c r="R156" s="548" t="s">
        <v>119</v>
      </c>
      <c r="S156">
        <v>0</v>
      </c>
      <c r="T156" s="44">
        <v>7.8328123303152994E-11</v>
      </c>
      <c r="U156" s="44">
        <v>1.4360542819247301E-2</v>
      </c>
      <c r="V156">
        <v>0.186809154610172</v>
      </c>
      <c r="W156">
        <v>4.5908275653802899E-2</v>
      </c>
      <c r="X156">
        <v>8242.2571565169801</v>
      </c>
      <c r="Y156">
        <v>0</v>
      </c>
      <c r="AA156" t="s">
        <v>133</v>
      </c>
      <c r="AB156" t="s">
        <v>119</v>
      </c>
      <c r="AC156">
        <v>0</v>
      </c>
      <c r="AD156" s="44">
        <v>6.5864642434238601</v>
      </c>
      <c r="AE156" s="44">
        <v>8.2848011821682992E-3</v>
      </c>
      <c r="AF156">
        <v>0.157119717522334</v>
      </c>
      <c r="AG156">
        <v>2.14988253844236E-2</v>
      </c>
      <c r="AH156">
        <v>6582.6686300910496</v>
      </c>
      <c r="AI156">
        <v>0</v>
      </c>
      <c r="AL156" t="s">
        <v>133</v>
      </c>
      <c r="AM156" t="s">
        <v>119</v>
      </c>
      <c r="AN156">
        <v>0</v>
      </c>
      <c r="AO156" s="44">
        <v>6.6883371446195406E-5</v>
      </c>
      <c r="AP156" s="44">
        <v>4.1779777166629298E-3</v>
      </c>
      <c r="AQ156">
        <v>0.147567288579939</v>
      </c>
      <c r="AR156">
        <v>2.6211964174078301E-2</v>
      </c>
      <c r="AS156">
        <v>5621.3512685401402</v>
      </c>
      <c r="AT156">
        <v>0</v>
      </c>
    </row>
    <row r="157" spans="2:46" hidden="1">
      <c r="B157" t="s">
        <v>131</v>
      </c>
      <c r="C157" t="s">
        <v>119</v>
      </c>
      <c r="D157" s="879">
        <v>211552.667568</v>
      </c>
      <c r="E157" s="44">
        <v>73.534852232460395</v>
      </c>
      <c r="F157" s="44">
        <v>7804.7915571962603</v>
      </c>
      <c r="G157">
        <v>1.2065081831420901</v>
      </c>
      <c r="H157">
        <v>0.11865922170611699</v>
      </c>
      <c r="I157" s="44">
        <v>3.40198692607048E-53</v>
      </c>
      <c r="J157" s="44"/>
      <c r="K157" s="44"/>
      <c r="L157" s="44"/>
      <c r="M157" s="44"/>
      <c r="N157" s="44"/>
      <c r="O157" s="548">
        <v>169703.05754881701</v>
      </c>
      <c r="Q157" s="548" t="s">
        <v>131</v>
      </c>
      <c r="R157" s="548" t="s">
        <v>119</v>
      </c>
      <c r="S157">
        <v>211552.667568</v>
      </c>
      <c r="T157" s="44">
        <v>90.639870797602896</v>
      </c>
      <c r="U157" s="44">
        <v>3.9808274106299102</v>
      </c>
      <c r="V157">
        <v>1.9239940664739099</v>
      </c>
      <c r="W157">
        <v>0.118320968876669</v>
      </c>
      <c r="X157">
        <v>118.894289641417</v>
      </c>
      <c r="Y157">
        <v>0</v>
      </c>
      <c r="AA157" t="s">
        <v>134</v>
      </c>
      <c r="AB157" t="s">
        <v>119</v>
      </c>
      <c r="AC157">
        <v>0</v>
      </c>
      <c r="AD157" s="44">
        <v>115253.582475277</v>
      </c>
      <c r="AE157" s="44">
        <v>2.9070169762952101</v>
      </c>
      <c r="AF157">
        <v>1.9124049046246001</v>
      </c>
      <c r="AG157">
        <v>7.3468297627530793E-2</v>
      </c>
      <c r="AH157">
        <v>22.121525563205999</v>
      </c>
      <c r="AI157">
        <v>0</v>
      </c>
      <c r="AL157" t="s">
        <v>134</v>
      </c>
      <c r="AM157" t="s">
        <v>119</v>
      </c>
      <c r="AN157">
        <v>0</v>
      </c>
      <c r="AO157" s="44">
        <v>106561.913841186</v>
      </c>
      <c r="AP157" s="44">
        <v>1.6791633382168301</v>
      </c>
      <c r="AQ157">
        <v>1.90896542456366</v>
      </c>
      <c r="AR157">
        <v>9.1897722020292102E-2</v>
      </c>
      <c r="AS157">
        <v>106.80725271787099</v>
      </c>
      <c r="AT157">
        <v>0</v>
      </c>
    </row>
    <row r="158" spans="2:46" hidden="1">
      <c r="B158" t="s">
        <v>133</v>
      </c>
      <c r="C158" t="s">
        <v>119</v>
      </c>
      <c r="D158" s="879">
        <v>0</v>
      </c>
      <c r="E158" s="44">
        <v>22.5399549726828</v>
      </c>
      <c r="F158" s="44">
        <v>2.2149315978682901E-2</v>
      </c>
      <c r="G158">
        <v>0.18110703260809499</v>
      </c>
      <c r="H158">
        <v>0.23025614737109901</v>
      </c>
      <c r="I158">
        <v>11365.7098658671</v>
      </c>
      <c r="O158" s="548">
        <v>0</v>
      </c>
      <c r="Q158" s="548" t="s">
        <v>133</v>
      </c>
      <c r="R158" s="548" t="s">
        <v>119</v>
      </c>
      <c r="S158">
        <v>0</v>
      </c>
      <c r="T158" s="44">
        <v>8.2551927976496895</v>
      </c>
      <c r="U158">
        <v>0</v>
      </c>
      <c r="V158">
        <v>0</v>
      </c>
      <c r="W158">
        <v>0</v>
      </c>
      <c r="X158">
        <v>0</v>
      </c>
      <c r="Y158">
        <v>0</v>
      </c>
      <c r="AA158" t="s">
        <v>135</v>
      </c>
      <c r="AB158" t="s">
        <v>119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L158" t="s">
        <v>135</v>
      </c>
      <c r="AM158" t="s">
        <v>119</v>
      </c>
      <c r="AN158">
        <v>0</v>
      </c>
      <c r="AO158">
        <v>156.59955393253699</v>
      </c>
      <c r="AP158">
        <v>2.4313562820134401E-4</v>
      </c>
      <c r="AQ158">
        <v>1.40321719003265E-2</v>
      </c>
      <c r="AR158">
        <v>4.3697886248515996E-3</v>
      </c>
      <c r="AS158">
        <v>330.16053028594303</v>
      </c>
      <c r="AT158">
        <v>0</v>
      </c>
    </row>
    <row r="159" spans="2:46" hidden="1">
      <c r="B159" t="s">
        <v>134</v>
      </c>
      <c r="C159" t="s">
        <v>119</v>
      </c>
      <c r="D159" s="879">
        <v>0</v>
      </c>
      <c r="E159" s="44">
        <v>124534.689255327</v>
      </c>
      <c r="F159">
        <v>4.5510585204634504</v>
      </c>
      <c r="G159">
        <v>1.45924422246633</v>
      </c>
      <c r="H159">
        <v>1.0978285334971301</v>
      </c>
      <c r="I159">
        <v>177.855312515375</v>
      </c>
      <c r="O159" s="548">
        <v>0</v>
      </c>
      <c r="Q159" s="548" t="s">
        <v>134</v>
      </c>
      <c r="R159" s="548" t="s">
        <v>119</v>
      </c>
      <c r="S159">
        <v>0</v>
      </c>
      <c r="T159" s="44">
        <v>118972.372447655</v>
      </c>
      <c r="U159" s="44">
        <v>1.3934302492198599E-5</v>
      </c>
      <c r="V159">
        <v>0.15147578686202601</v>
      </c>
      <c r="W159">
        <v>6.9229000877360898</v>
      </c>
      <c r="X159">
        <v>2187.86394429556</v>
      </c>
      <c r="Y159">
        <v>0</v>
      </c>
      <c r="AA159" t="s">
        <v>165</v>
      </c>
      <c r="AB159" t="s">
        <v>119</v>
      </c>
      <c r="AC159">
        <v>0</v>
      </c>
      <c r="AD159" s="44">
        <v>4.8764614224356401E-39</v>
      </c>
      <c r="AE159" s="44">
        <v>1.5788276137215001E-5</v>
      </c>
      <c r="AF159">
        <v>0.21460802560665901</v>
      </c>
      <c r="AG159">
        <v>3.9983996074898198</v>
      </c>
      <c r="AH159">
        <v>2894.2147466370998</v>
      </c>
      <c r="AI159">
        <v>0</v>
      </c>
      <c r="AL159" t="s">
        <v>165</v>
      </c>
      <c r="AM159" t="s">
        <v>119</v>
      </c>
      <c r="AN159">
        <v>0</v>
      </c>
      <c r="AO159" s="44">
        <v>5.6126800270953196E-51</v>
      </c>
      <c r="AP159" s="44">
        <v>1.7736228925178999E-5</v>
      </c>
      <c r="AQ159">
        <v>0.35680910029693802</v>
      </c>
      <c r="AR159">
        <v>9.5363796558970702</v>
      </c>
      <c r="AS159">
        <v>4317.0967604983598</v>
      </c>
      <c r="AT159">
        <v>0</v>
      </c>
    </row>
    <row r="160" spans="2:46" hidden="1">
      <c r="B160" t="s">
        <v>135</v>
      </c>
      <c r="C160" t="s">
        <v>119</v>
      </c>
      <c r="D160" s="879">
        <v>0</v>
      </c>
      <c r="E160">
        <v>0</v>
      </c>
      <c r="F160">
        <v>0</v>
      </c>
      <c r="G160">
        <v>0</v>
      </c>
      <c r="H160">
        <v>0</v>
      </c>
      <c r="I160">
        <v>0</v>
      </c>
      <c r="O160" s="548">
        <v>0</v>
      </c>
      <c r="Q160" s="548" t="s">
        <v>135</v>
      </c>
      <c r="R160" s="548" t="s">
        <v>119</v>
      </c>
      <c r="S160">
        <v>0</v>
      </c>
      <c r="T160">
        <v>0</v>
      </c>
      <c r="U160" s="44">
        <v>1.02508321388826E-15</v>
      </c>
      <c r="V160">
        <v>107.563452897104</v>
      </c>
      <c r="W160">
        <v>17356.887245298902</v>
      </c>
      <c r="X160">
        <v>470.125306868991</v>
      </c>
      <c r="Y160">
        <v>0</v>
      </c>
      <c r="AA160" t="s">
        <v>136</v>
      </c>
      <c r="AB160" t="s">
        <v>119</v>
      </c>
      <c r="AC160">
        <v>0</v>
      </c>
      <c r="AD160" s="44">
        <v>4.5408304631994602E-154</v>
      </c>
      <c r="AE160" s="44">
        <v>8.08937126080212E-16</v>
      </c>
      <c r="AF160">
        <v>153.78088319135099</v>
      </c>
      <c r="AG160">
        <v>22802.6109682981</v>
      </c>
      <c r="AH160">
        <v>358.40561035408803</v>
      </c>
      <c r="AI160">
        <v>0</v>
      </c>
      <c r="AL160" t="s">
        <v>136</v>
      </c>
      <c r="AM160" t="s">
        <v>119</v>
      </c>
      <c r="AN160">
        <v>0</v>
      </c>
      <c r="AO160" s="44">
        <v>4.96616710604853E-186</v>
      </c>
      <c r="AP160" s="44">
        <v>6.6410137983325298E-16</v>
      </c>
      <c r="AQ160">
        <v>211.044510294378</v>
      </c>
      <c r="AR160">
        <v>28057.0570167882</v>
      </c>
      <c r="AS160">
        <v>290.71298098552302</v>
      </c>
      <c r="AT160">
        <v>0</v>
      </c>
    </row>
    <row r="161" spans="2:46" hidden="1">
      <c r="B161" t="s">
        <v>165</v>
      </c>
      <c r="C161" t="s">
        <v>119</v>
      </c>
      <c r="D161" s="879">
        <v>0</v>
      </c>
      <c r="E161" s="44">
        <v>1.8211496168323801E-46</v>
      </c>
      <c r="F161" s="44">
        <v>1.28190342805341E-5</v>
      </c>
      <c r="G161">
        <v>9.3987476286572905E-2</v>
      </c>
      <c r="H161">
        <v>1.2216512221735001</v>
      </c>
      <c r="I161">
        <v>1987.03711667162</v>
      </c>
      <c r="O161" s="548">
        <v>0</v>
      </c>
      <c r="Q161" s="548" t="s">
        <v>165</v>
      </c>
      <c r="R161" s="548" t="s">
        <v>119</v>
      </c>
      <c r="S161">
        <v>0</v>
      </c>
      <c r="T161" s="44">
        <v>9.2680617979878194E-46</v>
      </c>
      <c r="U161" s="44">
        <v>3.1082154106933499E-19</v>
      </c>
      <c r="V161">
        <v>5.3063523954968304</v>
      </c>
      <c r="W161">
        <v>284.09560552874899</v>
      </c>
      <c r="X161">
        <v>1.5206252100039099</v>
      </c>
      <c r="Y161">
        <v>0</v>
      </c>
      <c r="AA161" t="s">
        <v>797</v>
      </c>
      <c r="AB161" t="s">
        <v>119</v>
      </c>
      <c r="AC161">
        <v>0</v>
      </c>
      <c r="AD161" s="44">
        <v>2.54288786403724E-214</v>
      </c>
      <c r="AE161" s="44">
        <v>5.2429442864117802E-19</v>
      </c>
      <c r="AF161">
        <v>10.249109018837901</v>
      </c>
      <c r="AG161">
        <v>482.80318165956999</v>
      </c>
      <c r="AH161">
        <v>1.47979617643003</v>
      </c>
      <c r="AI161">
        <v>0</v>
      </c>
      <c r="AL161" t="s">
        <v>797</v>
      </c>
      <c r="AM161" t="s">
        <v>119</v>
      </c>
      <c r="AN161">
        <v>0</v>
      </c>
      <c r="AO161" s="44">
        <v>6.17966611776803E-256</v>
      </c>
      <c r="AP161" s="44">
        <v>1.58707097378415E-18</v>
      </c>
      <c r="AQ161">
        <v>26.856936975898702</v>
      </c>
      <c r="AR161">
        <v>1119.3550146784</v>
      </c>
      <c r="AS161">
        <v>2.21151817344081</v>
      </c>
      <c r="AT161">
        <v>0</v>
      </c>
    </row>
    <row r="162" spans="2:46" hidden="1">
      <c r="B162" t="s">
        <v>136</v>
      </c>
      <c r="C162" t="s">
        <v>119</v>
      </c>
      <c r="D162" s="879">
        <v>0</v>
      </c>
      <c r="E162" s="44">
        <v>8.0027968494121397E-184</v>
      </c>
      <c r="F162" s="44">
        <v>1.27947586907332E-15</v>
      </c>
      <c r="G162">
        <v>54.735770531454001</v>
      </c>
      <c r="H162">
        <v>12901.8833533868</v>
      </c>
      <c r="I162">
        <v>645.83872852138802</v>
      </c>
      <c r="O162" s="548">
        <v>0</v>
      </c>
      <c r="Q162" s="548" t="s">
        <v>136</v>
      </c>
      <c r="R162" s="548" t="s">
        <v>119</v>
      </c>
      <c r="S162">
        <v>0</v>
      </c>
      <c r="T162" s="44">
        <v>4.3439308650377304E-180</v>
      </c>
      <c r="U162">
        <v>0</v>
      </c>
      <c r="V162">
        <v>2546.5750778679298</v>
      </c>
      <c r="W162">
        <v>61.449376957726003</v>
      </c>
      <c r="X162">
        <v>2.9956485271618E-4</v>
      </c>
      <c r="Y162">
        <v>0</v>
      </c>
      <c r="AA162" t="s">
        <v>137</v>
      </c>
      <c r="AB162" t="s">
        <v>119</v>
      </c>
      <c r="AC162">
        <v>0</v>
      </c>
      <c r="AD162">
        <v>0</v>
      </c>
      <c r="AE162">
        <v>0</v>
      </c>
      <c r="AF162">
        <v>3953.0681126222798</v>
      </c>
      <c r="AG162">
        <v>59.887376693892797</v>
      </c>
      <c r="AH162">
        <v>1.76167722060993E-4</v>
      </c>
      <c r="AI162">
        <v>0</v>
      </c>
      <c r="AL162" t="s">
        <v>137</v>
      </c>
      <c r="AM162" t="s">
        <v>119</v>
      </c>
      <c r="AN162">
        <v>0</v>
      </c>
      <c r="AO162">
        <v>0</v>
      </c>
      <c r="AP162">
        <v>0</v>
      </c>
      <c r="AQ162">
        <v>5682.7029016931701</v>
      </c>
      <c r="AR162">
        <v>68.443476758944698</v>
      </c>
      <c r="AS162">
        <v>1.4525398260214201E-4</v>
      </c>
      <c r="AT162">
        <v>0</v>
      </c>
    </row>
    <row r="163" spans="2:46" hidden="1">
      <c r="B163" t="s">
        <v>797</v>
      </c>
      <c r="C163" t="s">
        <v>119</v>
      </c>
      <c r="D163" s="879">
        <v>0</v>
      </c>
      <c r="E163" s="44">
        <v>9.05953385967733E-256</v>
      </c>
      <c r="F163">
        <v>0</v>
      </c>
      <c r="G163">
        <v>2.2188179826927499</v>
      </c>
      <c r="H163">
        <v>182.35456330307099</v>
      </c>
      <c r="I163">
        <v>1.8192926622221</v>
      </c>
      <c r="O163" s="548">
        <v>0</v>
      </c>
      <c r="Q163" s="548" t="s">
        <v>797</v>
      </c>
      <c r="R163" s="548" t="s">
        <v>119</v>
      </c>
      <c r="S163">
        <v>0</v>
      </c>
      <c r="T163" s="44">
        <v>2.3529227016085401E-250</v>
      </c>
      <c r="U163">
        <v>0</v>
      </c>
      <c r="V163">
        <v>0</v>
      </c>
      <c r="W163">
        <v>0</v>
      </c>
      <c r="X163">
        <v>0</v>
      </c>
      <c r="Y163">
        <v>0</v>
      </c>
      <c r="AA163" t="s">
        <v>91</v>
      </c>
      <c r="AB163" t="s">
        <v>119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L163" t="s">
        <v>91</v>
      </c>
      <c r="AM163" t="s">
        <v>119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2:46" hidden="1">
      <c r="B164" t="s">
        <v>137</v>
      </c>
      <c r="C164" t="s">
        <v>119</v>
      </c>
      <c r="D164" s="879">
        <v>0</v>
      </c>
      <c r="E164">
        <v>0</v>
      </c>
      <c r="F164">
        <v>0</v>
      </c>
      <c r="G164">
        <v>1534.50841106181</v>
      </c>
      <c r="H164">
        <v>73.780646648854201</v>
      </c>
      <c r="I164">
        <v>6.5138725180238896E-4</v>
      </c>
      <c r="O164" s="548">
        <v>0</v>
      </c>
      <c r="Q164" s="548" t="s">
        <v>137</v>
      </c>
      <c r="R164" s="548" t="s">
        <v>119</v>
      </c>
      <c r="S164">
        <v>0</v>
      </c>
      <c r="T164">
        <v>0</v>
      </c>
      <c r="U164">
        <v>0</v>
      </c>
      <c r="V164" s="44">
        <v>0</v>
      </c>
      <c r="W164" s="44">
        <v>0</v>
      </c>
      <c r="X164" s="44">
        <v>0</v>
      </c>
      <c r="Y164" s="44">
        <v>0</v>
      </c>
      <c r="AA164" t="s">
        <v>166</v>
      </c>
      <c r="AB164" t="s">
        <v>119</v>
      </c>
      <c r="AC164">
        <v>0</v>
      </c>
      <c r="AD164" s="44">
        <v>0</v>
      </c>
      <c r="AE164">
        <v>0</v>
      </c>
      <c r="AF164" s="44">
        <v>0</v>
      </c>
      <c r="AG164" s="44">
        <v>0</v>
      </c>
      <c r="AH164" s="44">
        <v>0</v>
      </c>
      <c r="AI164" s="44">
        <v>0</v>
      </c>
      <c r="AJ164" s="44"/>
      <c r="AL164" t="s">
        <v>166</v>
      </c>
      <c r="AM164" t="s">
        <v>119</v>
      </c>
      <c r="AN164">
        <v>0</v>
      </c>
      <c r="AO164">
        <v>0</v>
      </c>
      <c r="AP164">
        <v>0</v>
      </c>
      <c r="AQ164" s="44">
        <v>0</v>
      </c>
      <c r="AR164" s="44">
        <v>0</v>
      </c>
      <c r="AS164">
        <v>0</v>
      </c>
      <c r="AT164">
        <v>0</v>
      </c>
    </row>
    <row r="165" spans="2:46" hidden="1">
      <c r="B165" t="s">
        <v>91</v>
      </c>
      <c r="C165" t="s">
        <v>119</v>
      </c>
      <c r="D165" s="879">
        <v>0</v>
      </c>
      <c r="E165">
        <v>0</v>
      </c>
      <c r="F165">
        <v>0</v>
      </c>
      <c r="G165">
        <v>0</v>
      </c>
      <c r="H165">
        <v>0</v>
      </c>
      <c r="I165">
        <v>0</v>
      </c>
      <c r="O165" s="548">
        <v>0</v>
      </c>
      <c r="Q165" s="548" t="s">
        <v>91</v>
      </c>
      <c r="R165" s="548" t="s">
        <v>119</v>
      </c>
      <c r="S165">
        <v>0</v>
      </c>
      <c r="T165">
        <v>0</v>
      </c>
      <c r="U165">
        <v>0</v>
      </c>
      <c r="V165">
        <v>0</v>
      </c>
      <c r="W165" s="44">
        <v>0</v>
      </c>
      <c r="X165" s="44">
        <v>0</v>
      </c>
      <c r="Y165" s="44">
        <v>0</v>
      </c>
      <c r="AA165" t="s">
        <v>167</v>
      </c>
      <c r="AB165" t="s">
        <v>119</v>
      </c>
      <c r="AC165">
        <v>0</v>
      </c>
      <c r="AD165">
        <v>0</v>
      </c>
      <c r="AE165">
        <v>0</v>
      </c>
      <c r="AF165">
        <v>0</v>
      </c>
      <c r="AG165" s="44">
        <v>0</v>
      </c>
      <c r="AH165" s="44">
        <v>0</v>
      </c>
      <c r="AI165" s="44">
        <v>0</v>
      </c>
      <c r="AJ165" s="44"/>
      <c r="AL165" t="s">
        <v>167</v>
      </c>
      <c r="AM165" t="s">
        <v>119</v>
      </c>
      <c r="AN165">
        <v>0</v>
      </c>
      <c r="AO165">
        <v>0</v>
      </c>
      <c r="AP165">
        <v>0</v>
      </c>
      <c r="AQ165">
        <v>0</v>
      </c>
      <c r="AR165" s="44">
        <v>0</v>
      </c>
      <c r="AS165" s="44">
        <v>0</v>
      </c>
      <c r="AT165">
        <v>0</v>
      </c>
    </row>
    <row r="166" spans="2:46" hidden="1">
      <c r="B166" t="s">
        <v>166</v>
      </c>
      <c r="C166" t="s">
        <v>119</v>
      </c>
      <c r="D166" s="879">
        <v>0</v>
      </c>
      <c r="E166" s="44">
        <v>0</v>
      </c>
      <c r="F166">
        <v>0</v>
      </c>
      <c r="G166" s="44">
        <v>0</v>
      </c>
      <c r="H166" s="44">
        <v>0</v>
      </c>
      <c r="I166" s="44">
        <v>0</v>
      </c>
      <c r="J166" s="44"/>
      <c r="K166" s="44"/>
      <c r="L166" s="44"/>
      <c r="M166" s="44"/>
      <c r="N166" s="44"/>
      <c r="O166" s="548">
        <v>0</v>
      </c>
      <c r="Q166" s="548" t="s">
        <v>166</v>
      </c>
      <c r="R166" s="548" t="s">
        <v>119</v>
      </c>
      <c r="S166">
        <v>0</v>
      </c>
      <c r="T166" s="44">
        <v>0</v>
      </c>
      <c r="U166" s="44">
        <v>0</v>
      </c>
      <c r="V166" s="44">
        <v>0</v>
      </c>
      <c r="W166" s="44">
        <v>0</v>
      </c>
      <c r="X166">
        <v>0</v>
      </c>
      <c r="Y166">
        <v>0</v>
      </c>
      <c r="AA166" t="s">
        <v>168</v>
      </c>
      <c r="AB166" t="s">
        <v>119</v>
      </c>
      <c r="AC166">
        <v>0</v>
      </c>
      <c r="AD166" s="44">
        <v>0</v>
      </c>
      <c r="AE166" s="44">
        <v>0</v>
      </c>
      <c r="AF166" s="44">
        <v>0</v>
      </c>
      <c r="AG166" s="44">
        <v>0</v>
      </c>
      <c r="AH166">
        <v>0</v>
      </c>
      <c r="AI166">
        <v>0</v>
      </c>
      <c r="AL166" t="s">
        <v>168</v>
      </c>
      <c r="AM166" t="s">
        <v>119</v>
      </c>
      <c r="AN166">
        <v>0</v>
      </c>
      <c r="AO166" s="44">
        <v>0</v>
      </c>
      <c r="AP166" s="44">
        <v>0</v>
      </c>
      <c r="AQ166" s="44">
        <v>0</v>
      </c>
      <c r="AR166" s="44">
        <v>0</v>
      </c>
      <c r="AS166">
        <v>0</v>
      </c>
      <c r="AT166">
        <v>0</v>
      </c>
    </row>
    <row r="167" spans="2:46" hidden="1">
      <c r="B167" t="s">
        <v>167</v>
      </c>
      <c r="C167" t="s">
        <v>119</v>
      </c>
      <c r="D167" s="879">
        <v>0</v>
      </c>
      <c r="E167">
        <v>0</v>
      </c>
      <c r="F167">
        <v>0</v>
      </c>
      <c r="G167">
        <v>0</v>
      </c>
      <c r="H167" s="44">
        <v>0</v>
      </c>
      <c r="I167" s="44">
        <v>0</v>
      </c>
      <c r="J167" s="44"/>
      <c r="K167" s="44"/>
      <c r="L167" s="44"/>
      <c r="M167" s="44"/>
      <c r="N167" s="44"/>
      <c r="O167" s="548">
        <v>0</v>
      </c>
      <c r="Q167" s="548" t="s">
        <v>167</v>
      </c>
      <c r="R167" s="548" t="s">
        <v>119</v>
      </c>
      <c r="S167">
        <v>0</v>
      </c>
      <c r="T167">
        <v>0</v>
      </c>
      <c r="U167">
        <v>0</v>
      </c>
      <c r="V167">
        <v>0</v>
      </c>
      <c r="W167" s="44">
        <v>0</v>
      </c>
      <c r="X167">
        <v>0</v>
      </c>
      <c r="Y167">
        <v>0</v>
      </c>
      <c r="AA167" t="s">
        <v>849</v>
      </c>
      <c r="AB167" t="s">
        <v>119</v>
      </c>
      <c r="AC167">
        <v>0</v>
      </c>
      <c r="AD167">
        <v>0</v>
      </c>
      <c r="AE167" s="44">
        <v>0</v>
      </c>
      <c r="AF167">
        <v>0</v>
      </c>
      <c r="AG167" s="44">
        <v>0</v>
      </c>
      <c r="AH167">
        <v>0</v>
      </c>
      <c r="AI167">
        <v>0</v>
      </c>
      <c r="AL167" t="s">
        <v>849</v>
      </c>
      <c r="AM167" t="s">
        <v>119</v>
      </c>
      <c r="AN167">
        <v>0</v>
      </c>
      <c r="AO167">
        <v>0</v>
      </c>
      <c r="AP167" s="44">
        <v>0</v>
      </c>
      <c r="AQ167">
        <v>0</v>
      </c>
      <c r="AR167" s="44">
        <v>0</v>
      </c>
      <c r="AS167">
        <v>0</v>
      </c>
      <c r="AT167">
        <v>0</v>
      </c>
    </row>
    <row r="168" spans="2:46" hidden="1">
      <c r="B168" t="s">
        <v>168</v>
      </c>
      <c r="C168" t="s">
        <v>119</v>
      </c>
      <c r="D168" s="879">
        <v>0</v>
      </c>
      <c r="E168">
        <v>0</v>
      </c>
      <c r="F168" s="44">
        <v>0</v>
      </c>
      <c r="G168">
        <v>0</v>
      </c>
      <c r="H168" s="44">
        <v>0</v>
      </c>
      <c r="I168">
        <v>0</v>
      </c>
      <c r="O168" s="548">
        <v>0</v>
      </c>
      <c r="Q168" s="548" t="s">
        <v>168</v>
      </c>
      <c r="R168" s="548" t="s">
        <v>119</v>
      </c>
      <c r="S168">
        <v>0</v>
      </c>
      <c r="T168" s="44">
        <v>0</v>
      </c>
      <c r="U168">
        <v>0</v>
      </c>
      <c r="V168">
        <v>0</v>
      </c>
      <c r="W168">
        <v>0</v>
      </c>
      <c r="X168">
        <v>0</v>
      </c>
      <c r="Y168">
        <v>0</v>
      </c>
      <c r="AA168" t="s">
        <v>850</v>
      </c>
      <c r="AB168" t="s">
        <v>119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L168" t="s">
        <v>850</v>
      </c>
      <c r="AM168" t="s">
        <v>119</v>
      </c>
      <c r="AN168">
        <v>0</v>
      </c>
      <c r="AO168">
        <v>0</v>
      </c>
      <c r="AP168" s="44">
        <v>0</v>
      </c>
      <c r="AQ168" s="44">
        <v>0</v>
      </c>
      <c r="AR168" s="44">
        <v>0</v>
      </c>
      <c r="AS168">
        <v>0</v>
      </c>
      <c r="AT168">
        <v>0</v>
      </c>
    </row>
    <row r="169" spans="2:46" hidden="1">
      <c r="B169" t="s">
        <v>849</v>
      </c>
      <c r="C169" t="s">
        <v>119</v>
      </c>
      <c r="D169" s="879">
        <v>0</v>
      </c>
      <c r="E169">
        <v>0</v>
      </c>
      <c r="F169">
        <v>0</v>
      </c>
      <c r="G169">
        <v>0</v>
      </c>
      <c r="H169" s="44">
        <v>0</v>
      </c>
      <c r="I169">
        <v>0</v>
      </c>
      <c r="O169" s="548">
        <v>0</v>
      </c>
      <c r="Q169" s="548" t="s">
        <v>849</v>
      </c>
      <c r="R169" s="548" t="s">
        <v>119</v>
      </c>
      <c r="S169">
        <v>0</v>
      </c>
      <c r="T169">
        <v>0</v>
      </c>
      <c r="U169" s="44"/>
      <c r="V169" s="44"/>
      <c r="AA169" t="s">
        <v>120</v>
      </c>
      <c r="AD169" s="44"/>
      <c r="AE169" s="44"/>
      <c r="AF169" s="44"/>
      <c r="AL169" t="s">
        <v>120</v>
      </c>
      <c r="AO169" s="44"/>
      <c r="AP169" s="44"/>
      <c r="AQ169" s="44"/>
    </row>
    <row r="170" spans="2:46" hidden="1">
      <c r="B170" t="s">
        <v>850</v>
      </c>
      <c r="C170" t="s">
        <v>119</v>
      </c>
      <c r="D170" s="879">
        <v>0</v>
      </c>
      <c r="E170">
        <v>0</v>
      </c>
      <c r="F170">
        <v>0</v>
      </c>
      <c r="G170">
        <v>0</v>
      </c>
      <c r="H170">
        <v>0</v>
      </c>
      <c r="I170">
        <v>0</v>
      </c>
      <c r="O170" s="548">
        <v>0</v>
      </c>
      <c r="Q170" s="548" t="s">
        <v>850</v>
      </c>
      <c r="R170" s="548" t="s">
        <v>119</v>
      </c>
      <c r="S170">
        <v>0</v>
      </c>
      <c r="T170">
        <v>0</v>
      </c>
      <c r="U170" s="44">
        <v>0.77159244570302299</v>
      </c>
      <c r="V170" s="44">
        <v>5.80601394909741E-5</v>
      </c>
      <c r="W170" s="44">
        <v>1.2737978076215499E-11</v>
      </c>
      <c r="X170" s="44">
        <v>5.2605845451653498E-138</v>
      </c>
      <c r="Y170">
        <v>0</v>
      </c>
      <c r="AA170" t="s">
        <v>132</v>
      </c>
      <c r="AC170">
        <v>0</v>
      </c>
      <c r="AD170" s="44">
        <v>1.23659995311117E-15</v>
      </c>
      <c r="AE170" s="44">
        <v>0.770313305255789</v>
      </c>
      <c r="AF170" s="44">
        <v>2.7073764051075998E-5</v>
      </c>
      <c r="AG170" s="44">
        <v>1.3990124676595799E-11</v>
      </c>
      <c r="AH170" s="44">
        <v>1.4921528184260399E-156</v>
      </c>
      <c r="AI170">
        <v>0</v>
      </c>
      <c r="AL170" t="s">
        <v>132</v>
      </c>
      <c r="AN170">
        <v>0</v>
      </c>
      <c r="AO170" s="44">
        <v>0</v>
      </c>
      <c r="AP170" s="44">
        <v>0.76897649842322502</v>
      </c>
      <c r="AQ170" s="44">
        <v>1.3445383414855299E-5</v>
      </c>
      <c r="AR170" s="44">
        <v>7.6986662827155092E-12</v>
      </c>
      <c r="AS170">
        <v>0</v>
      </c>
      <c r="AT170">
        <v>0</v>
      </c>
    </row>
    <row r="171" spans="2:46" hidden="1">
      <c r="B171" t="s">
        <v>120</v>
      </c>
      <c r="E171" s="44"/>
      <c r="F171" s="44"/>
      <c r="G171" s="44"/>
      <c r="H171" s="44"/>
      <c r="Q171" s="548" t="s">
        <v>120</v>
      </c>
      <c r="T171" s="44"/>
      <c r="U171" s="44">
        <v>0.228298521667889</v>
      </c>
      <c r="V171">
        <v>5.4212438382381003E-4</v>
      </c>
      <c r="W171" s="44">
        <v>2.5564441269545301E-8</v>
      </c>
      <c r="X171" s="44">
        <v>7.4134951478206002E-59</v>
      </c>
      <c r="Y171">
        <v>1</v>
      </c>
      <c r="AA171" t="s">
        <v>131</v>
      </c>
      <c r="AC171">
        <v>1</v>
      </c>
      <c r="AD171" s="44">
        <v>1.21277718996725E-3</v>
      </c>
      <c r="AE171" s="44">
        <v>0.229609286628325</v>
      </c>
      <c r="AF171">
        <v>3.5494058782124701E-4</v>
      </c>
      <c r="AG171" s="44">
        <v>2.0264487778768201E-8</v>
      </c>
      <c r="AH171" s="44">
        <v>2.3639345713843599E-67</v>
      </c>
      <c r="AI171">
        <v>1</v>
      </c>
      <c r="AL171" t="s">
        <v>131</v>
      </c>
      <c r="AN171">
        <v>1</v>
      </c>
      <c r="AO171" s="44">
        <v>2.6535225191988902E-3</v>
      </c>
      <c r="AP171" s="44">
        <v>0.23098008078941101</v>
      </c>
      <c r="AQ171">
        <v>3.2223076471039799E-4</v>
      </c>
      <c r="AR171" s="44">
        <v>2.2356141867563001E-8</v>
      </c>
      <c r="AS171" s="44">
        <v>7.3999411317544698E-59</v>
      </c>
      <c r="AT171">
        <v>1</v>
      </c>
    </row>
    <row r="172" spans="2:46" hidden="1">
      <c r="B172" t="s">
        <v>132</v>
      </c>
      <c r="D172" s="879">
        <v>0</v>
      </c>
      <c r="E172" s="44">
        <v>1.9203568632518699E-12</v>
      </c>
      <c r="F172" s="44">
        <v>0.77260581024908104</v>
      </c>
      <c r="G172" s="44">
        <v>9.9571019884599405E-5</v>
      </c>
      <c r="H172" s="44">
        <v>1.34100270966858E-7</v>
      </c>
      <c r="I172" s="44">
        <v>3.8554862082133098E-131</v>
      </c>
      <c r="J172" s="44"/>
      <c r="K172" s="44"/>
      <c r="L172" s="44"/>
      <c r="M172" s="44"/>
      <c r="N172" s="44"/>
      <c r="O172" s="548">
        <v>0</v>
      </c>
      <c r="Q172" s="548" t="s">
        <v>132</v>
      </c>
      <c r="S172">
        <v>0</v>
      </c>
      <c r="T172" s="44">
        <v>6.5782556061018104E-16</v>
      </c>
      <c r="U172" s="44">
        <v>3.9191204417269098E-7</v>
      </c>
      <c r="V172" s="44">
        <v>7.0141838779387003E-5</v>
      </c>
      <c r="W172" s="44">
        <v>2.5922936446690001E-6</v>
      </c>
      <c r="X172" s="44">
        <v>0.74789131897400996</v>
      </c>
      <c r="Y172" s="44">
        <v>0</v>
      </c>
      <c r="AA172" t="s">
        <v>133</v>
      </c>
      <c r="AC172">
        <v>0</v>
      </c>
      <c r="AD172" s="44">
        <v>5.7075018979702702E-5</v>
      </c>
      <c r="AE172" s="44">
        <v>2.1997975710575599E-7</v>
      </c>
      <c r="AF172" s="44">
        <v>3.81270021767512E-5</v>
      </c>
      <c r="AG172" s="44">
        <v>9.2074441528905105E-7</v>
      </c>
      <c r="AH172" s="44">
        <v>0.66768858423910105</v>
      </c>
      <c r="AI172" s="44">
        <v>0</v>
      </c>
      <c r="AJ172" s="44"/>
      <c r="AL172" t="s">
        <v>133</v>
      </c>
      <c r="AN172">
        <v>0</v>
      </c>
      <c r="AO172" s="44">
        <v>6.2506394392060603E-10</v>
      </c>
      <c r="AP172" s="44">
        <v>1.07751750005702E-7</v>
      </c>
      <c r="AQ172" s="44">
        <v>2.4905784851592401E-5</v>
      </c>
      <c r="AR172" s="44">
        <v>8.9599722144513896E-7</v>
      </c>
      <c r="AS172" s="44">
        <v>0.52691899845947798</v>
      </c>
      <c r="AT172">
        <v>0</v>
      </c>
    </row>
    <row r="173" spans="2:46" hidden="1">
      <c r="B173" t="s">
        <v>131</v>
      </c>
      <c r="D173" s="879">
        <v>1</v>
      </c>
      <c r="E173" s="44">
        <v>5.9002167551042302E-4</v>
      </c>
      <c r="F173">
        <v>0.22726102606410301</v>
      </c>
      <c r="G173">
        <v>7.5663894849930602E-4</v>
      </c>
      <c r="H173" s="44">
        <v>9.0161863258645797E-6</v>
      </c>
      <c r="I173" s="44">
        <v>2.3994387843746701E-57</v>
      </c>
      <c r="J173" s="44"/>
      <c r="K173" s="44"/>
      <c r="L173" s="44"/>
      <c r="M173" s="44"/>
      <c r="N173" s="44"/>
      <c r="O173" s="548">
        <v>1</v>
      </c>
      <c r="Q173" s="548" t="s">
        <v>131</v>
      </c>
      <c r="S173">
        <v>1</v>
      </c>
      <c r="T173" s="44">
        <v>7.6122369982362895E-4</v>
      </c>
      <c r="U173">
        <v>1.08640336764124E-4</v>
      </c>
      <c r="V173">
        <v>7.2240828831287901E-4</v>
      </c>
      <c r="W173" s="44">
        <v>6.6812070652159301E-6</v>
      </c>
      <c r="X173">
        <v>1.07883077911601E-2</v>
      </c>
      <c r="Y173">
        <v>0</v>
      </c>
      <c r="AA173" t="s">
        <v>134</v>
      </c>
      <c r="AC173">
        <v>0</v>
      </c>
      <c r="AD173">
        <v>0.99873014779105196</v>
      </c>
      <c r="AE173" s="44">
        <v>7.7187716915176806E-5</v>
      </c>
      <c r="AF173">
        <v>4.64068209332715E-4</v>
      </c>
      <c r="AG173" s="44">
        <v>3.1464753786201502E-6</v>
      </c>
      <c r="AH173">
        <v>2.2438149198316599E-3</v>
      </c>
      <c r="AI173">
        <v>0</v>
      </c>
      <c r="AL173" t="s">
        <v>134</v>
      </c>
      <c r="AN173">
        <v>0</v>
      </c>
      <c r="AO173">
        <v>0.99588296309019697</v>
      </c>
      <c r="AP173" s="44">
        <v>4.33063076226258E-5</v>
      </c>
      <c r="AQ173">
        <v>3.2218713653165798E-4</v>
      </c>
      <c r="AR173" s="44">
        <v>3.1413175693543702E-6</v>
      </c>
      <c r="AS173">
        <v>1.0011608942723901E-2</v>
      </c>
      <c r="AT173">
        <v>0</v>
      </c>
    </row>
    <row r="174" spans="2:46" hidden="1">
      <c r="B174" t="s">
        <v>133</v>
      </c>
      <c r="D174" s="879">
        <v>0</v>
      </c>
      <c r="E174">
        <v>1.8085386174259801E-4</v>
      </c>
      <c r="F174" s="44">
        <v>6.4494691998433996E-7</v>
      </c>
      <c r="G174">
        <v>1.13577874259872E-4</v>
      </c>
      <c r="H174" s="44">
        <v>1.74957521002057E-5</v>
      </c>
      <c r="I174" s="44">
        <v>0.80162933182143203</v>
      </c>
      <c r="J174" s="44"/>
      <c r="K174" s="44"/>
      <c r="L174" s="44"/>
      <c r="M174" s="44"/>
      <c r="N174" s="44"/>
      <c r="O174" s="548">
        <v>0</v>
      </c>
      <c r="Q174" s="548" t="s">
        <v>133</v>
      </c>
      <c r="S174">
        <v>0</v>
      </c>
      <c r="T174" s="44">
        <v>6.9329847327523602E-5</v>
      </c>
      <c r="U174">
        <v>0</v>
      </c>
      <c r="V174">
        <v>0</v>
      </c>
      <c r="W174">
        <v>0</v>
      </c>
      <c r="X174">
        <v>0</v>
      </c>
      <c r="Y174">
        <v>0</v>
      </c>
      <c r="AA174" t="s">
        <v>135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L174" t="s">
        <v>135</v>
      </c>
      <c r="AN174">
        <v>0</v>
      </c>
      <c r="AO174">
        <v>1.4635137655407101E-3</v>
      </c>
      <c r="AP174" s="44">
        <v>6.2705670551914497E-9</v>
      </c>
      <c r="AQ174" s="44">
        <v>2.3682908164350598E-6</v>
      </c>
      <c r="AR174" s="44">
        <v>1.4937142597049499E-7</v>
      </c>
      <c r="AS174">
        <v>3.0947693470559201E-2</v>
      </c>
      <c r="AT174">
        <v>0</v>
      </c>
    </row>
    <row r="175" spans="2:46" hidden="1">
      <c r="B175" t="s">
        <v>134</v>
      </c>
      <c r="D175" s="879">
        <v>0</v>
      </c>
      <c r="E175">
        <v>0.99922912446082701</v>
      </c>
      <c r="F175">
        <v>1.3251836662885199E-4</v>
      </c>
      <c r="G175">
        <v>9.1513760910859798E-4</v>
      </c>
      <c r="H175" s="44">
        <v>8.34172554778401E-5</v>
      </c>
      <c r="I175">
        <v>1.2544226186941799E-2</v>
      </c>
      <c r="O175" s="548">
        <v>0</v>
      </c>
      <c r="Q175" s="548" t="s">
        <v>134</v>
      </c>
      <c r="S175">
        <v>0</v>
      </c>
      <c r="T175">
        <v>0.999169446452848</v>
      </c>
      <c r="U175" s="44">
        <v>3.8027956481692501E-10</v>
      </c>
      <c r="V175" s="44">
        <v>5.68751046661953E-5</v>
      </c>
      <c r="W175">
        <v>3.9091404860095498E-4</v>
      </c>
      <c r="X175">
        <v>0.19852382908741301</v>
      </c>
      <c r="Y175">
        <v>0</v>
      </c>
      <c r="AA175" t="s">
        <v>165</v>
      </c>
      <c r="AC175">
        <v>0</v>
      </c>
      <c r="AD175" s="44">
        <v>4.2256986138988002E-44</v>
      </c>
      <c r="AE175" s="44">
        <v>4.1921357838477198E-10</v>
      </c>
      <c r="AF175" s="44">
        <v>5.2077236316888499E-5</v>
      </c>
      <c r="AG175">
        <v>1.7124210475970999E-4</v>
      </c>
      <c r="AH175">
        <v>0.29356394120044399</v>
      </c>
      <c r="AI175">
        <v>0</v>
      </c>
      <c r="AL175" t="s">
        <v>165</v>
      </c>
      <c r="AN175">
        <v>0</v>
      </c>
      <c r="AO175" s="44">
        <v>5.2453754017512001E-56</v>
      </c>
      <c r="AP175" s="44">
        <v>4.57424580693132E-10</v>
      </c>
      <c r="AQ175" s="44">
        <v>6.0220735710487902E-5</v>
      </c>
      <c r="AR175">
        <v>3.2597975556443302E-4</v>
      </c>
      <c r="AS175">
        <v>0.404664322264495</v>
      </c>
      <c r="AT175">
        <v>0</v>
      </c>
    </row>
    <row r="176" spans="2:46" hidden="1">
      <c r="B176" t="s">
        <v>135</v>
      </c>
      <c r="D176" s="879">
        <v>0</v>
      </c>
      <c r="E176">
        <v>0</v>
      </c>
      <c r="F176">
        <v>0</v>
      </c>
      <c r="G176">
        <v>0</v>
      </c>
      <c r="H176">
        <v>0</v>
      </c>
      <c r="I176">
        <v>0</v>
      </c>
      <c r="O176" s="548">
        <v>0</v>
      </c>
      <c r="Q176" s="548" t="s">
        <v>135</v>
      </c>
      <c r="S176">
        <v>0</v>
      </c>
      <c r="T176">
        <v>0</v>
      </c>
      <c r="U176" s="44">
        <v>2.7975436782487702E-20</v>
      </c>
      <c r="V176">
        <v>4.0387198300891297E-2</v>
      </c>
      <c r="W176">
        <v>0.98008796576304402</v>
      </c>
      <c r="X176">
        <v>4.2658537480756202E-2</v>
      </c>
      <c r="Y176">
        <v>0</v>
      </c>
      <c r="AA176" t="s">
        <v>136</v>
      </c>
      <c r="AC176">
        <v>0</v>
      </c>
      <c r="AD176" s="44">
        <v>3.9348575395286301E-159</v>
      </c>
      <c r="AE176" s="44">
        <v>2.14790661352214E-20</v>
      </c>
      <c r="AF176">
        <v>3.7316793593050603E-2</v>
      </c>
      <c r="AG176">
        <v>0.97658250288785098</v>
      </c>
      <c r="AH176">
        <v>3.6353544133568498E-2</v>
      </c>
      <c r="AI176">
        <v>0</v>
      </c>
      <c r="AL176" t="s">
        <v>136</v>
      </c>
      <c r="AN176">
        <v>0</v>
      </c>
      <c r="AO176" s="44">
        <v>4.6411715353982202E-191</v>
      </c>
      <c r="AP176" s="44">
        <v>1.7127445551669899E-20</v>
      </c>
      <c r="AQ176">
        <v>3.5619202724959498E-2</v>
      </c>
      <c r="AR176">
        <v>0.95906758310888895</v>
      </c>
      <c r="AS176">
        <v>2.72500659471939E-2</v>
      </c>
      <c r="AT176">
        <v>0</v>
      </c>
    </row>
    <row r="177" spans="2:46" hidden="1">
      <c r="B177" t="s">
        <v>165</v>
      </c>
      <c r="D177" s="879">
        <v>0</v>
      </c>
      <c r="E177" s="44">
        <v>1.46123602027758E-51</v>
      </c>
      <c r="F177" s="44">
        <v>3.7326645591949999E-10</v>
      </c>
      <c r="G177" s="44">
        <v>5.8942480642256097E-5</v>
      </c>
      <c r="H177" s="44">
        <v>9.2825781982764207E-5</v>
      </c>
      <c r="I177">
        <v>0.140146744456805</v>
      </c>
      <c r="O177" s="548">
        <v>0</v>
      </c>
      <c r="Q177" s="548" t="s">
        <v>165</v>
      </c>
      <c r="S177">
        <v>0</v>
      </c>
      <c r="T177" s="44">
        <v>7.7836257156766603E-51</v>
      </c>
      <c r="U177" s="44">
        <v>8.4825975637997493E-24</v>
      </c>
      <c r="V177">
        <v>1.9923933332295402E-3</v>
      </c>
      <c r="W177">
        <v>1.6041971130526699E-2</v>
      </c>
      <c r="X177">
        <v>1.3797948454881E-4</v>
      </c>
      <c r="Y177">
        <v>0</v>
      </c>
      <c r="AA177" t="s">
        <v>797</v>
      </c>
      <c r="AC177">
        <v>0</v>
      </c>
      <c r="AD177" s="44">
        <v>2.2035399835061601E-219</v>
      </c>
      <c r="AE177" s="44">
        <v>1.39211742718251E-23</v>
      </c>
      <c r="AF177">
        <v>2.4870704201428099E-3</v>
      </c>
      <c r="AG177">
        <v>2.0677331214518899E-2</v>
      </c>
      <c r="AH177">
        <v>1.5009763813514899E-4</v>
      </c>
      <c r="AI177">
        <v>0</v>
      </c>
      <c r="AL177" t="s">
        <v>797</v>
      </c>
      <c r="AN177">
        <v>0</v>
      </c>
      <c r="AO177" s="44">
        <v>5.7752568271651496E-261</v>
      </c>
      <c r="AP177" s="44">
        <v>4.0931207968501601E-23</v>
      </c>
      <c r="AQ177">
        <v>4.5328005991799704E-3</v>
      </c>
      <c r="AR177">
        <v>3.8262641300050297E-2</v>
      </c>
      <c r="AS177">
        <v>2.07297300125311E-4</v>
      </c>
      <c r="AT177">
        <v>0</v>
      </c>
    </row>
    <row r="178" spans="2:46" hidden="1">
      <c r="B178" t="s">
        <v>136</v>
      </c>
      <c r="D178" s="879">
        <v>0</v>
      </c>
      <c r="E178" s="44">
        <v>6.4212049966904503E-189</v>
      </c>
      <c r="F178" s="44">
        <v>3.7255959585718799E-20</v>
      </c>
      <c r="G178">
        <v>3.4326510535852103E-2</v>
      </c>
      <c r="H178">
        <v>0.98033496761684702</v>
      </c>
      <c r="I178">
        <v>4.55513359498824E-2</v>
      </c>
      <c r="O178" s="548">
        <v>0</v>
      </c>
      <c r="Q178" s="548" t="s">
        <v>136</v>
      </c>
      <c r="S178">
        <v>0</v>
      </c>
      <c r="T178" s="44">
        <v>3.6481772268253597E-185</v>
      </c>
      <c r="U178">
        <v>0</v>
      </c>
      <c r="V178">
        <v>0.95617079861080601</v>
      </c>
      <c r="W178">
        <v>3.4698499799390198E-3</v>
      </c>
      <c r="X178" s="44">
        <v>2.7182111472827999E-8</v>
      </c>
      <c r="Y178">
        <v>0</v>
      </c>
      <c r="AA178" t="s">
        <v>137</v>
      </c>
      <c r="AC178">
        <v>0</v>
      </c>
      <c r="AD178">
        <v>0</v>
      </c>
      <c r="AE178">
        <v>0</v>
      </c>
      <c r="AF178">
        <v>0.95925984918710805</v>
      </c>
      <c r="AG178">
        <v>2.56483629459888E-3</v>
      </c>
      <c r="AH178" s="44">
        <v>1.78689196648662E-8</v>
      </c>
      <c r="AI178">
        <v>0</v>
      </c>
      <c r="AL178" t="s">
        <v>137</v>
      </c>
      <c r="AN178">
        <v>0</v>
      </c>
      <c r="AO178">
        <v>0</v>
      </c>
      <c r="AP178">
        <v>0</v>
      </c>
      <c r="AQ178">
        <v>0.95910263857982503</v>
      </c>
      <c r="AR178">
        <v>2.3395867854384398E-3</v>
      </c>
      <c r="AS178" s="44">
        <v>1.36154243666128E-8</v>
      </c>
      <c r="AT178">
        <v>0</v>
      </c>
    </row>
    <row r="179" spans="2:46" hidden="1">
      <c r="B179" t="s">
        <v>797</v>
      </c>
      <c r="D179" s="879">
        <v>0</v>
      </c>
      <c r="E179" s="44">
        <v>7.2690991889566202E-261</v>
      </c>
      <c r="F179">
        <v>0</v>
      </c>
      <c r="G179">
        <v>1.3914900278287499E-3</v>
      </c>
      <c r="H179">
        <v>1.385600458584E-2</v>
      </c>
      <c r="I179">
        <v>1.2831564226221601E-4</v>
      </c>
      <c r="O179" s="548">
        <v>0</v>
      </c>
      <c r="Q179" s="548" t="s">
        <v>797</v>
      </c>
      <c r="S179">
        <v>0</v>
      </c>
      <c r="T179" s="44">
        <v>1.9760625302709801E-255</v>
      </c>
      <c r="U179">
        <v>0</v>
      </c>
      <c r="V179">
        <v>0</v>
      </c>
      <c r="W179">
        <v>0</v>
      </c>
      <c r="X179">
        <v>0</v>
      </c>
      <c r="Y179">
        <v>0</v>
      </c>
      <c r="AA179" t="s">
        <v>91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L179" t="s">
        <v>91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</row>
    <row r="180" spans="2:46" hidden="1">
      <c r="B180" t="s">
        <v>137</v>
      </c>
      <c r="D180" s="879">
        <v>0</v>
      </c>
      <c r="E180">
        <v>0</v>
      </c>
      <c r="F180">
        <v>0</v>
      </c>
      <c r="G180">
        <v>0.962338131503925</v>
      </c>
      <c r="H180">
        <v>5.6061387211555798E-3</v>
      </c>
      <c r="I180" s="44">
        <v>4.59426761356549E-8</v>
      </c>
      <c r="J180" s="44"/>
      <c r="K180" s="44"/>
      <c r="L180" s="44"/>
      <c r="M180" s="44"/>
      <c r="N180" s="44"/>
      <c r="O180" s="548">
        <v>0</v>
      </c>
      <c r="Q180" s="548" t="s">
        <v>137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AA180" t="s">
        <v>166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L180" t="s">
        <v>166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</row>
    <row r="181" spans="2:46" hidden="1">
      <c r="B181" t="s">
        <v>91</v>
      </c>
      <c r="D181" s="879">
        <v>0</v>
      </c>
      <c r="E181">
        <v>0</v>
      </c>
      <c r="F181">
        <v>0</v>
      </c>
      <c r="G181">
        <v>0</v>
      </c>
      <c r="H181">
        <v>0</v>
      </c>
      <c r="I181">
        <v>0</v>
      </c>
      <c r="O181" s="548">
        <v>0</v>
      </c>
      <c r="Q181" s="548" t="s">
        <v>91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AA181" t="s">
        <v>167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L181" t="s">
        <v>167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2:46" hidden="1">
      <c r="B182" t="s">
        <v>166</v>
      </c>
      <c r="D182" s="879">
        <v>0</v>
      </c>
      <c r="E182">
        <v>0</v>
      </c>
      <c r="F182">
        <v>0</v>
      </c>
      <c r="G182">
        <v>0</v>
      </c>
      <c r="H182">
        <v>0</v>
      </c>
      <c r="I182">
        <v>0</v>
      </c>
      <c r="O182" s="548">
        <v>0</v>
      </c>
      <c r="Q182" s="548" t="s">
        <v>166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AA182" t="s">
        <v>168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L182" t="s">
        <v>168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</row>
    <row r="183" spans="2:46" hidden="1">
      <c r="B183" t="s">
        <v>167</v>
      </c>
      <c r="D183" s="879">
        <v>0</v>
      </c>
      <c r="E183">
        <v>0</v>
      </c>
      <c r="F183">
        <v>0</v>
      </c>
      <c r="G183">
        <v>0</v>
      </c>
      <c r="H183">
        <v>0</v>
      </c>
      <c r="I183">
        <v>0</v>
      </c>
      <c r="O183" s="548">
        <v>0</v>
      </c>
      <c r="Q183" s="548" t="s">
        <v>167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AA183" t="s">
        <v>849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L183" t="s">
        <v>849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2:46" hidden="1">
      <c r="B184" t="s">
        <v>168</v>
      </c>
      <c r="D184" s="879">
        <v>0</v>
      </c>
      <c r="E184">
        <v>0</v>
      </c>
      <c r="F184">
        <v>0</v>
      </c>
      <c r="G184">
        <v>0</v>
      </c>
      <c r="H184">
        <v>0</v>
      </c>
      <c r="I184">
        <v>0</v>
      </c>
      <c r="O184" s="548">
        <v>0</v>
      </c>
      <c r="Q184" s="548" t="s">
        <v>168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AA184" t="s">
        <v>850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L184" t="s">
        <v>850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</row>
    <row r="185" spans="2:46" hidden="1">
      <c r="B185" t="s">
        <v>849</v>
      </c>
      <c r="D185" s="879">
        <v>0</v>
      </c>
      <c r="E185">
        <v>0</v>
      </c>
      <c r="F185">
        <v>0</v>
      </c>
      <c r="G185">
        <v>0</v>
      </c>
      <c r="H185">
        <v>0</v>
      </c>
      <c r="I185">
        <v>0</v>
      </c>
      <c r="O185" s="548">
        <v>0</v>
      </c>
      <c r="Q185" s="548" t="s">
        <v>849</v>
      </c>
      <c r="S185">
        <v>0</v>
      </c>
      <c r="T185">
        <v>0</v>
      </c>
      <c r="U185">
        <v>10559.896325352</v>
      </c>
      <c r="V185">
        <v>2.7507409025985199</v>
      </c>
      <c r="W185">
        <v>33.889766528049996</v>
      </c>
      <c r="X185">
        <v>17.7779034489316</v>
      </c>
      <c r="Y185">
        <v>202150.24731238899</v>
      </c>
      <c r="AA185" t="s">
        <v>121</v>
      </c>
      <c r="AB185" t="s">
        <v>122</v>
      </c>
      <c r="AC185">
        <v>327437.64971695602</v>
      </c>
      <c r="AD185">
        <v>186.26079647443399</v>
      </c>
      <c r="AE185">
        <v>10877.005391299201</v>
      </c>
      <c r="AF185">
        <v>4.2525286624958696</v>
      </c>
      <c r="AG185">
        <v>44.747494875568002</v>
      </c>
      <c r="AH185">
        <v>15.758743591751999</v>
      </c>
      <c r="AI185">
        <v>168686.087475501</v>
      </c>
      <c r="AL185" t="s">
        <v>121</v>
      </c>
      <c r="AM185" t="s">
        <v>122</v>
      </c>
      <c r="AN185">
        <v>327437.64971695602</v>
      </c>
      <c r="AO185">
        <v>172.37170173581299</v>
      </c>
      <c r="AP185">
        <v>11434.401737181901</v>
      </c>
      <c r="AQ185">
        <v>6.1134778782749502</v>
      </c>
      <c r="AR185">
        <v>56.154642564878202</v>
      </c>
      <c r="AS185">
        <v>16.8172233708971</v>
      </c>
      <c r="AT185">
        <v>147360.78592546401</v>
      </c>
    </row>
    <row r="186" spans="2:46" hidden="1">
      <c r="B186" t="s">
        <v>850</v>
      </c>
      <c r="D186" s="879">
        <v>0</v>
      </c>
      <c r="E186">
        <v>0</v>
      </c>
      <c r="F186">
        <v>0</v>
      </c>
      <c r="G186">
        <v>0</v>
      </c>
      <c r="H186">
        <v>0</v>
      </c>
      <c r="I186">
        <v>0</v>
      </c>
      <c r="O186" s="548">
        <v>0</v>
      </c>
      <c r="Q186" s="548" t="s">
        <v>850</v>
      </c>
      <c r="S186">
        <v>0</v>
      </c>
      <c r="T186">
        <v>0</v>
      </c>
      <c r="AA186" t="s">
        <v>89</v>
      </c>
      <c r="AL186" t="s">
        <v>89</v>
      </c>
    </row>
    <row r="187" spans="2:46" hidden="1">
      <c r="B187" t="s">
        <v>121</v>
      </c>
      <c r="C187" t="s">
        <v>122</v>
      </c>
      <c r="D187" s="879">
        <v>327437.64971695602</v>
      </c>
      <c r="E187">
        <v>201.326905302667</v>
      </c>
      <c r="F187">
        <v>10076.470081806199</v>
      </c>
      <c r="G187">
        <v>1.64707513667478</v>
      </c>
      <c r="H187">
        <v>25.1425599111321</v>
      </c>
      <c r="I187">
        <v>23.0198300465341</v>
      </c>
      <c r="O187" s="548">
        <v>262663.52938189602</v>
      </c>
      <c r="Q187" s="548" t="s">
        <v>121</v>
      </c>
      <c r="R187" s="548" t="s">
        <v>122</v>
      </c>
      <c r="S187">
        <v>327437.64971695602</v>
      </c>
      <c r="T187">
        <v>192.302157659362</v>
      </c>
      <c r="AA187" t="s">
        <v>123</v>
      </c>
      <c r="AL187" t="s">
        <v>123</v>
      </c>
    </row>
    <row r="188" spans="2:46" hidden="1">
      <c r="B188" t="s">
        <v>89</v>
      </c>
      <c r="Q188" s="548" t="s">
        <v>89</v>
      </c>
      <c r="AA188" t="s">
        <v>124</v>
      </c>
      <c r="AL188" t="s">
        <v>124</v>
      </c>
    </row>
    <row r="189" spans="2:46" hidden="1">
      <c r="B189" t="s">
        <v>123</v>
      </c>
      <c r="Q189" s="548" t="s">
        <v>123</v>
      </c>
    </row>
    <row r="190" spans="2:46" hidden="1">
      <c r="B190" t="s">
        <v>124</v>
      </c>
      <c r="Q190" s="548" t="s">
        <v>124</v>
      </c>
    </row>
    <row r="191" spans="2:46" hidden="1"/>
    <row r="192" spans="2:46" hidden="1"/>
    <row r="193" spans="5:20">
      <c r="E193" s="741">
        <f t="shared" ref="E193:J193" si="55">SUM(E87:E89)</f>
        <v>0.45353778365399566</v>
      </c>
      <c r="F193" s="741">
        <f t="shared" si="55"/>
        <v>0.51753936047994953</v>
      </c>
      <c r="G193" s="741">
        <f t="shared" si="55"/>
        <v>0.57015423602605941</v>
      </c>
      <c r="H193" s="741">
        <f t="shared" si="55"/>
        <v>0.59729643434830226</v>
      </c>
      <c r="I193" s="741">
        <f t="shared" si="55"/>
        <v>0.3971456031469941</v>
      </c>
      <c r="J193" s="741">
        <f t="shared" si="55"/>
        <v>0.45514931719516538</v>
      </c>
      <c r="K193" s="741">
        <f t="shared" ref="K193:N193" si="56">SUM(K87:K89)</f>
        <v>0.5073643554197439</v>
      </c>
      <c r="L193" s="741">
        <f t="shared" si="56"/>
        <v>0.53688827221014146</v>
      </c>
      <c r="M193" s="741">
        <f t="shared" si="56"/>
        <v>0.53260600341137909</v>
      </c>
      <c r="N193" s="741">
        <f t="shared" si="56"/>
        <v>0.59802975126311098</v>
      </c>
      <c r="O193" s="799">
        <f>SUM(O87:O89)</f>
        <v>0.65314878856565961</v>
      </c>
      <c r="P193" s="799">
        <f t="shared" ref="P193:T193" si="57">SUM(P87:P89)</f>
        <v>0.6888183798504417</v>
      </c>
      <c r="Q193" s="799">
        <f t="shared" si="57"/>
        <v>0.42046908315565035</v>
      </c>
      <c r="R193" s="799">
        <f t="shared" si="57"/>
        <v>0.59087316129099587</v>
      </c>
      <c r="S193" s="799">
        <f t="shared" si="57"/>
        <v>0.6444288178345966</v>
      </c>
      <c r="T193" s="799">
        <f t="shared" si="57"/>
        <v>0.66566184080919888</v>
      </c>
    </row>
    <row r="199" spans="5:20" ht="24">
      <c r="E199" s="922">
        <v>11116.454035000001</v>
      </c>
      <c r="F199" t="s">
        <v>1263</v>
      </c>
      <c r="G199">
        <v>0.22723695706141489</v>
      </c>
      <c r="H199">
        <v>0.24450149566798046</v>
      </c>
      <c r="I199">
        <v>0.25644529649817738</v>
      </c>
      <c r="J199">
        <v>0.24797732099808104</v>
      </c>
    </row>
    <row r="200" spans="5:20">
      <c r="E200">
        <v>3257911.0805472001</v>
      </c>
      <c r="F200" t="s">
        <v>1261</v>
      </c>
      <c r="G200">
        <v>0.12883269632359595</v>
      </c>
      <c r="H200">
        <v>0.15866512339611266</v>
      </c>
      <c r="I200">
        <v>0.18196122498659584</v>
      </c>
      <c r="J200">
        <v>0.20667641435286765</v>
      </c>
    </row>
    <row r="201" spans="5:20">
      <c r="E201">
        <v>211552.667568</v>
      </c>
      <c r="F201" t="s">
        <v>1262</v>
      </c>
      <c r="G201">
        <v>4.1075949761983248E-2</v>
      </c>
      <c r="H201">
        <v>5.1982698131072279E-2</v>
      </c>
      <c r="I201">
        <v>6.895783393497068E-2</v>
      </c>
      <c r="J201">
        <v>8.2234536859192756E-2</v>
      </c>
    </row>
    <row r="202" spans="5:20">
      <c r="E202">
        <f>E199/E201</f>
        <v>5.254698115034076E-2</v>
      </c>
      <c r="F202" t="s">
        <v>1264</v>
      </c>
    </row>
    <row r="203" spans="5:20">
      <c r="E203">
        <f>3.27*E202</f>
        <v>0.17182862836161428</v>
      </c>
    </row>
    <row r="204" spans="5:20">
      <c r="G204">
        <v>22.723695706141488</v>
      </c>
      <c r="H204">
        <v>12.883269632359596</v>
      </c>
      <c r="I204">
        <v>4.1075949761983246</v>
      </c>
      <c r="K204">
        <v>100</v>
      </c>
    </row>
    <row r="205" spans="5:20">
      <c r="G205">
        <v>24.450149566798046</v>
      </c>
      <c r="H205">
        <v>15.866512339611266</v>
      </c>
      <c r="I205">
        <v>5.1982698131072276</v>
      </c>
    </row>
    <row r="206" spans="5:20">
      <c r="E206">
        <v>0.17182862836161428</v>
      </c>
      <c r="G206">
        <v>25.644529649817738</v>
      </c>
      <c r="H206">
        <v>18.196122498659584</v>
      </c>
      <c r="I206">
        <v>6.8957833934970676</v>
      </c>
    </row>
    <row r="207" spans="5:20">
      <c r="G207">
        <v>24.797732099808105</v>
      </c>
      <c r="H207">
        <v>20.667641435286765</v>
      </c>
      <c r="I207">
        <v>8.2234536859192762</v>
      </c>
    </row>
    <row r="212" spans="7:16">
      <c r="G212">
        <v>78.443637230647312</v>
      </c>
      <c r="H212">
        <v>72.16212072704144</v>
      </c>
      <c r="I212">
        <v>67.753199436244273</v>
      </c>
      <c r="J212">
        <v>60.494084868645089</v>
      </c>
      <c r="L212">
        <v>100</v>
      </c>
      <c r="N212">
        <v>78.443637230647312</v>
      </c>
      <c r="O212">
        <v>16.591609885913762</v>
      </c>
      <c r="P212">
        <v>95.035247116561067</v>
      </c>
    </row>
    <row r="213" spans="7:16">
      <c r="G213">
        <v>16.591609885913762</v>
      </c>
      <c r="H213">
        <v>18.548283864070399</v>
      </c>
      <c r="I213">
        <v>22.432370158722414</v>
      </c>
      <c r="J213">
        <v>25.241975142900142</v>
      </c>
      <c r="N213">
        <v>72.16212072704144</v>
      </c>
      <c r="O213">
        <v>18.548283864070399</v>
      </c>
      <c r="P213">
        <v>90.710404591111839</v>
      </c>
    </row>
    <row r="214" spans="7:16">
      <c r="G214">
        <v>95.035247116561067</v>
      </c>
      <c r="H214">
        <v>90.710404591111839</v>
      </c>
      <c r="I214">
        <v>90.18556959496668</v>
      </c>
      <c r="J214">
        <v>85.736060011545234</v>
      </c>
      <c r="N214">
        <v>67.753199436244273</v>
      </c>
      <c r="O214">
        <v>22.432370158722414</v>
      </c>
      <c r="P214">
        <v>90.18556959496668</v>
      </c>
    </row>
    <row r="215" spans="7:16">
      <c r="N215">
        <v>60.494084868645089</v>
      </c>
      <c r="O215">
        <v>25.241975142900142</v>
      </c>
      <c r="P215">
        <v>85.736060011545234</v>
      </c>
    </row>
    <row r="218" spans="7:16">
      <c r="G218">
        <v>22.723695706141488</v>
      </c>
      <c r="H218">
        <v>24.450149566798046</v>
      </c>
      <c r="I218">
        <v>25.644529649817738</v>
      </c>
      <c r="J218">
        <v>24.797732099808105</v>
      </c>
      <c r="N218">
        <v>22.723695706141488</v>
      </c>
      <c r="O218">
        <v>12.883269632359596</v>
      </c>
      <c r="P218">
        <v>4.1075949761983246</v>
      </c>
    </row>
    <row r="219" spans="7:16">
      <c r="G219">
        <v>12.883269632359596</v>
      </c>
      <c r="H219">
        <v>15.866512339611266</v>
      </c>
      <c r="I219">
        <v>18.196122498659584</v>
      </c>
      <c r="J219">
        <v>20.667641435286765</v>
      </c>
      <c r="N219">
        <v>24.450149566798046</v>
      </c>
      <c r="O219">
        <v>15.866512339611266</v>
      </c>
      <c r="P219">
        <v>5.1982698131072276</v>
      </c>
    </row>
    <row r="220" spans="7:16">
      <c r="G220">
        <v>4.1075949761983246</v>
      </c>
      <c r="H220">
        <v>5.1982698131072276</v>
      </c>
      <c r="I220">
        <v>6.8957833934970676</v>
      </c>
      <c r="J220">
        <v>8.2234536859192762</v>
      </c>
      <c r="N220">
        <v>25.644529649817738</v>
      </c>
      <c r="O220">
        <v>18.196122498659584</v>
      </c>
      <c r="P220">
        <v>6.8957833934970676</v>
      </c>
    </row>
    <row r="221" spans="7:16">
      <c r="N221">
        <v>24.797732099808105</v>
      </c>
      <c r="O221">
        <v>20.667641435286765</v>
      </c>
      <c r="P221">
        <v>8.2234536859192762</v>
      </c>
    </row>
  </sheetData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EA8B-D95C-42E4-9FD5-A028EB19B4C7}">
  <sheetPr>
    <pageSetUpPr fitToPage="1"/>
  </sheetPr>
  <dimension ref="A1:BC207"/>
  <sheetViews>
    <sheetView topLeftCell="A52" zoomScale="70" zoomScaleNormal="70" workbookViewId="0">
      <selection activeCell="AA41" sqref="AA41"/>
    </sheetView>
  </sheetViews>
  <sheetFormatPr defaultColWidth="9.125" defaultRowHeight="16.5"/>
  <cols>
    <col min="1" max="1" width="5.5" style="370" customWidth="1"/>
    <col min="2" max="2" width="54" style="370" customWidth="1"/>
    <col min="3" max="3" width="8.25" style="370" customWidth="1"/>
    <col min="4" max="4" width="45.125" style="370" bestFit="1" customWidth="1"/>
    <col min="5" max="5" width="19" style="370" hidden="1" customWidth="1"/>
    <col min="6" max="8" width="19" style="370" customWidth="1"/>
    <col min="9" max="13" width="19.875" style="371" customWidth="1"/>
    <col min="14" max="14" width="39.5" style="371" hidden="1" customWidth="1"/>
    <col min="15" max="15" width="41.25" style="371" hidden="1" customWidth="1"/>
    <col min="16" max="18" width="18.5" style="371" hidden="1" customWidth="1"/>
    <col min="19" max="19" width="19.5" style="543" hidden="1" customWidth="1"/>
    <col min="20" max="20" width="18.5" style="543" hidden="1" customWidth="1"/>
    <col min="21" max="21" width="19" style="385" hidden="1" customWidth="1"/>
    <col min="22" max="22" width="21.5" style="385" customWidth="1"/>
    <col min="23" max="23" width="17" style="385" customWidth="1"/>
    <col min="24" max="24" width="12.25" style="385" customWidth="1"/>
    <col min="25" max="25" width="18.875" style="370" bestFit="1" customWidth="1"/>
    <col min="26" max="26" width="18.5" style="370" bestFit="1" customWidth="1"/>
    <col min="27" max="27" width="11.5" style="370" bestFit="1" customWidth="1"/>
    <col min="28" max="28" width="18.75" style="370" customWidth="1"/>
    <col min="29" max="29" width="22" style="370" customWidth="1"/>
    <col min="30" max="32" width="15" style="370" customWidth="1"/>
    <col min="33" max="33" width="25.625" style="370" bestFit="1" customWidth="1"/>
    <col min="34" max="35" width="15" style="370" customWidth="1"/>
    <col min="36" max="36" width="16.25" style="370" customWidth="1"/>
    <col min="37" max="37" width="21.125" style="370" customWidth="1"/>
    <col min="38" max="41" width="16.5" style="370" customWidth="1"/>
    <col min="42" max="42" width="15.25" style="370" bestFit="1" customWidth="1"/>
    <col min="43" max="43" width="15.25" style="370" customWidth="1"/>
    <col min="44" max="44" width="17" style="370" customWidth="1"/>
    <col min="45" max="46" width="16.5" style="370" bestFit="1" customWidth="1"/>
    <col min="47" max="47" width="13.5" style="370" customWidth="1"/>
    <col min="48" max="48" width="9.5" style="370" bestFit="1" customWidth="1"/>
    <col min="49" max="56" width="9.125" style="370"/>
    <col min="57" max="57" width="39.875" style="370" bestFit="1" customWidth="1"/>
    <col min="58" max="58" width="14.875" style="370" customWidth="1"/>
    <col min="59" max="59" width="10" style="370" bestFit="1" customWidth="1"/>
    <col min="60" max="16384" width="9.125" style="370"/>
  </cols>
  <sheetData>
    <row r="1" spans="1:35" ht="20.25">
      <c r="A1" s="45" t="s">
        <v>731</v>
      </c>
    </row>
    <row r="2" spans="1:35" ht="17.25" thickBot="1"/>
    <row r="3" spans="1:35" ht="21" thickBot="1">
      <c r="B3" s="945" t="s">
        <v>729</v>
      </c>
      <c r="C3" s="946"/>
      <c r="D3" s="947"/>
      <c r="E3" s="142"/>
      <c r="F3" s="142"/>
      <c r="G3" s="142"/>
      <c r="H3" s="142"/>
      <c r="I3" s="142"/>
      <c r="J3" s="142"/>
      <c r="K3" s="142"/>
      <c r="L3" s="142"/>
      <c r="M3" s="142"/>
      <c r="N3" s="359"/>
      <c r="O3" s="359"/>
      <c r="P3" s="359"/>
      <c r="Q3" s="359"/>
      <c r="R3" s="359"/>
      <c r="S3" s="544"/>
      <c r="T3" s="544"/>
      <c r="U3" s="359"/>
      <c r="V3" s="359"/>
      <c r="W3" s="359"/>
      <c r="X3" s="359"/>
    </row>
    <row r="4" spans="1:35">
      <c r="B4" s="372" t="s">
        <v>720</v>
      </c>
      <c r="C4" s="373"/>
      <c r="D4" s="374" t="s">
        <v>195</v>
      </c>
      <c r="E4" s="371"/>
      <c r="F4" s="371"/>
      <c r="G4" s="371"/>
      <c r="H4" s="371"/>
      <c r="N4" s="375"/>
      <c r="O4" s="375"/>
      <c r="P4" s="375"/>
      <c r="Q4" s="375"/>
      <c r="R4" s="375"/>
      <c r="S4" s="545"/>
      <c r="T4" s="545"/>
      <c r="U4" s="375"/>
      <c r="V4" s="375"/>
      <c r="W4" s="375"/>
      <c r="X4" s="375"/>
      <c r="AB4" s="435"/>
    </row>
    <row r="5" spans="1:35">
      <c r="B5" s="376" t="s">
        <v>723</v>
      </c>
      <c r="C5" s="377"/>
      <c r="D5" s="378" t="s">
        <v>228</v>
      </c>
      <c r="E5" s="371"/>
      <c r="F5" s="371"/>
      <c r="G5" s="371"/>
      <c r="H5" s="371"/>
      <c r="N5" s="375"/>
      <c r="O5" s="375"/>
      <c r="P5" s="375"/>
      <c r="Q5" s="375"/>
      <c r="R5" s="375"/>
      <c r="S5" s="545"/>
      <c r="T5" s="545"/>
      <c r="U5" s="375"/>
      <c r="V5" s="375"/>
      <c r="W5" s="375"/>
      <c r="X5" s="375"/>
      <c r="AB5" s="435"/>
    </row>
    <row r="6" spans="1:35">
      <c r="B6" s="376" t="s">
        <v>724</v>
      </c>
      <c r="C6" s="377"/>
      <c r="D6" s="378" t="s">
        <v>234</v>
      </c>
      <c r="E6" s="371"/>
      <c r="F6" s="371"/>
      <c r="G6" s="371"/>
      <c r="H6" s="371"/>
      <c r="N6" s="375"/>
      <c r="O6" s="375"/>
      <c r="P6" s="375"/>
      <c r="Q6" s="375"/>
      <c r="R6" s="375"/>
      <c r="S6" s="545"/>
      <c r="T6" s="545"/>
      <c r="U6" s="375"/>
      <c r="V6" s="375"/>
      <c r="W6" s="375"/>
      <c r="X6" s="375"/>
      <c r="AB6" s="435"/>
    </row>
    <row r="7" spans="1:35">
      <c r="B7" s="380" t="s">
        <v>725</v>
      </c>
      <c r="C7" s="377"/>
      <c r="D7" s="378">
        <v>30</v>
      </c>
      <c r="E7" s="371"/>
      <c r="F7" s="371"/>
      <c r="G7" s="371"/>
      <c r="H7" s="371"/>
      <c r="N7" s="375"/>
      <c r="O7" s="375"/>
      <c r="P7" s="375"/>
      <c r="Q7" s="375"/>
      <c r="R7" s="375"/>
      <c r="S7" s="545"/>
      <c r="T7" s="545"/>
      <c r="U7" s="375"/>
      <c r="V7" s="375"/>
      <c r="W7" s="375"/>
      <c r="X7" s="375"/>
    </row>
    <row r="8" spans="1:35">
      <c r="B8" s="380" t="s">
        <v>726</v>
      </c>
      <c r="C8" s="377"/>
      <c r="D8" s="378">
        <v>8000</v>
      </c>
      <c r="E8" s="371"/>
      <c r="F8" s="371"/>
      <c r="G8" s="371"/>
      <c r="H8" s="371"/>
      <c r="N8" s="375"/>
      <c r="O8" s="375"/>
      <c r="P8" s="375"/>
      <c r="Q8" s="375"/>
      <c r="R8" s="375"/>
      <c r="S8" s="545"/>
      <c r="T8" s="545"/>
      <c r="U8" s="375"/>
      <c r="V8" s="375"/>
      <c r="W8" s="375"/>
      <c r="X8" s="375"/>
    </row>
    <row r="9" spans="1:35">
      <c r="B9" s="380" t="s">
        <v>722</v>
      </c>
      <c r="C9" s="377"/>
      <c r="D9" s="378" t="s">
        <v>730</v>
      </c>
      <c r="E9" s="371"/>
      <c r="F9" s="371"/>
      <c r="G9" s="371"/>
      <c r="H9" s="371"/>
      <c r="N9" s="375"/>
      <c r="O9" s="375"/>
      <c r="P9" s="375"/>
      <c r="Q9" s="375"/>
      <c r="R9" s="375"/>
      <c r="S9" s="545"/>
      <c r="T9" s="545"/>
      <c r="U9" s="375"/>
      <c r="V9" s="375"/>
      <c r="W9" s="375"/>
      <c r="X9" s="375"/>
      <c r="Y9" s="352"/>
    </row>
    <row r="10" spans="1:35">
      <c r="B10" s="380" t="s">
        <v>727</v>
      </c>
      <c r="C10" s="377"/>
      <c r="D10" s="381">
        <f>8%*1</f>
        <v>0.08</v>
      </c>
      <c r="E10" s="371"/>
      <c r="F10" s="371"/>
      <c r="G10" s="371"/>
      <c r="H10" s="371"/>
      <c r="N10" s="382"/>
      <c r="O10" s="382"/>
      <c r="P10" s="382"/>
      <c r="Q10" s="382"/>
      <c r="R10" s="382"/>
      <c r="S10" s="546"/>
      <c r="T10" s="546"/>
      <c r="U10" s="382"/>
      <c r="V10" s="382"/>
      <c r="W10" s="382"/>
      <c r="X10" s="382"/>
      <c r="Y10" s="375"/>
      <c r="Z10" s="435"/>
      <c r="AA10" s="435"/>
      <c r="AB10" s="435"/>
    </row>
    <row r="11" spans="1:35">
      <c r="B11" s="380" t="s">
        <v>728</v>
      </c>
      <c r="C11" s="377"/>
      <c r="D11" s="381">
        <f>35%*1</f>
        <v>0.35</v>
      </c>
      <c r="E11" s="371"/>
      <c r="F11" s="371"/>
      <c r="G11" s="371"/>
      <c r="H11" s="371"/>
      <c r="N11" s="382"/>
      <c r="O11" s="382"/>
      <c r="P11" s="382"/>
      <c r="Q11" s="382"/>
      <c r="R11" s="382"/>
      <c r="S11" s="546"/>
      <c r="T11" s="546"/>
      <c r="U11" s="382"/>
      <c r="V11" s="382"/>
      <c r="W11" s="382"/>
      <c r="X11" s="382"/>
      <c r="Y11" s="375"/>
      <c r="Z11" s="435"/>
      <c r="AA11" s="435"/>
      <c r="AB11" s="435"/>
    </row>
    <row r="12" spans="1:35">
      <c r="B12" s="380" t="s">
        <v>881</v>
      </c>
      <c r="C12" s="377"/>
      <c r="D12" s="381">
        <v>0.15</v>
      </c>
      <c r="E12" s="371"/>
      <c r="F12" s="371"/>
      <c r="G12" s="371"/>
      <c r="H12" s="371"/>
      <c r="N12" s="382"/>
      <c r="O12" s="382"/>
      <c r="P12" s="382"/>
      <c r="Q12" s="382"/>
      <c r="R12" s="382"/>
      <c r="S12" s="546"/>
      <c r="T12" s="546"/>
      <c r="U12" s="382"/>
      <c r="V12" s="382"/>
      <c r="W12" s="382"/>
      <c r="X12" s="382"/>
      <c r="Y12" s="375"/>
      <c r="Z12" s="435"/>
      <c r="AA12" s="435"/>
      <c r="AB12" s="435"/>
    </row>
    <row r="13" spans="1:35">
      <c r="B13" s="380" t="s">
        <v>882</v>
      </c>
      <c r="C13" s="377"/>
      <c r="D13" s="381">
        <v>0.25</v>
      </c>
      <c r="E13" s="371"/>
      <c r="F13" s="371"/>
      <c r="G13" s="371"/>
      <c r="H13" s="371"/>
      <c r="N13" s="382"/>
      <c r="O13" s="382"/>
      <c r="P13" s="382"/>
      <c r="Q13" s="382"/>
      <c r="R13" s="382"/>
      <c r="S13" s="546"/>
      <c r="T13" s="546"/>
      <c r="U13" s="382"/>
      <c r="V13" s="382"/>
      <c r="W13" s="382"/>
      <c r="X13" s="382"/>
      <c r="Y13" s="375"/>
      <c r="Z13" s="435"/>
      <c r="AA13" s="435"/>
      <c r="AB13" s="435"/>
    </row>
    <row r="14" spans="1:35" ht="17.25" thickBot="1">
      <c r="B14" s="380" t="s">
        <v>883</v>
      </c>
      <c r="C14" s="377"/>
      <c r="D14" s="381">
        <v>0.06</v>
      </c>
      <c r="E14" s="371"/>
      <c r="F14" s="371"/>
      <c r="G14" s="371"/>
      <c r="H14" s="371"/>
      <c r="N14" s="382"/>
      <c r="O14" s="382"/>
      <c r="P14" s="382"/>
      <c r="Q14" s="382"/>
      <c r="R14" s="382"/>
      <c r="S14" s="546"/>
      <c r="T14" s="546"/>
      <c r="U14" s="382"/>
      <c r="V14" s="382"/>
      <c r="W14" s="382"/>
      <c r="X14" s="382"/>
      <c r="Y14" s="375"/>
      <c r="Z14" s="435"/>
      <c r="AA14" s="435"/>
      <c r="AB14" s="435"/>
    </row>
    <row r="15" spans="1:35" ht="17.25" thickBot="1">
      <c r="B15" s="383" t="s">
        <v>874</v>
      </c>
      <c r="C15" s="384"/>
      <c r="D15" s="353">
        <f>D10*POWER(1+D10,D7)/(POWER(1+D10,D7)-1)</f>
        <v>8.8827433387272267E-2</v>
      </c>
      <c r="E15" s="371"/>
      <c r="F15" s="371"/>
      <c r="G15" s="371"/>
      <c r="H15" s="371"/>
      <c r="N15" s="360"/>
      <c r="O15" s="360"/>
      <c r="P15" s="360"/>
      <c r="Q15" s="360"/>
      <c r="R15" s="360"/>
      <c r="S15" s="547"/>
      <c r="U15" s="360"/>
      <c r="V15" s="360"/>
      <c r="W15" s="360"/>
      <c r="X15" s="360"/>
      <c r="Y15" s="375"/>
      <c r="Z15" s="435"/>
      <c r="AA15" s="435"/>
      <c r="AB15" s="435"/>
      <c r="AH15" s="379"/>
      <c r="AI15" s="379"/>
    </row>
    <row r="16" spans="1:35">
      <c r="E16" s="370">
        <v>2019</v>
      </c>
      <c r="I16" s="370"/>
      <c r="J16" s="370"/>
      <c r="K16" s="370"/>
      <c r="L16" s="370"/>
      <c r="M16" s="370"/>
      <c r="N16" s="370"/>
      <c r="O16" s="370"/>
      <c r="P16" s="370"/>
      <c r="Q16" s="370"/>
      <c r="R16" s="370"/>
      <c r="S16" s="548"/>
      <c r="T16" s="548"/>
      <c r="U16" s="370"/>
      <c r="V16" s="370"/>
      <c r="W16" s="370"/>
      <c r="X16" s="370"/>
      <c r="Y16" s="375"/>
      <c r="Z16" s="435"/>
      <c r="AA16" s="435"/>
      <c r="AB16" s="435"/>
    </row>
    <row r="17" spans="1:52">
      <c r="F17" s="391">
        <f>F18-F23</f>
        <v>-69504144.023599386</v>
      </c>
      <c r="G17" s="391">
        <f t="shared" ref="G17:O17" si="0">G18-G23</f>
        <v>-99623119.509515941</v>
      </c>
      <c r="H17" s="391">
        <f t="shared" si="0"/>
        <v>-105921746.47642213</v>
      </c>
      <c r="I17" s="391">
        <f t="shared" si="0"/>
        <v>-88793317.581985235</v>
      </c>
      <c r="J17" s="391">
        <f t="shared" si="0"/>
        <v>-265617562.03114212</v>
      </c>
      <c r="K17" s="391">
        <f t="shared" si="0"/>
        <v>8447844.6701016426</v>
      </c>
      <c r="L17" s="391">
        <f t="shared" si="0"/>
        <v>-111797764.23288447</v>
      </c>
      <c r="M17" s="391">
        <f t="shared" si="0"/>
        <v>-794744.66058635712</v>
      </c>
      <c r="N17" s="391">
        <f t="shared" si="0"/>
        <v>-387646682.10444504</v>
      </c>
      <c r="O17" s="391">
        <f t="shared" si="0"/>
        <v>-85504918.399122059</v>
      </c>
      <c r="P17" s="370"/>
      <c r="Q17" s="370"/>
      <c r="R17" s="370"/>
      <c r="S17" s="548"/>
      <c r="T17" s="548"/>
      <c r="U17" s="370"/>
      <c r="V17" s="370"/>
      <c r="W17" s="370"/>
      <c r="X17" s="370"/>
      <c r="Y17" s="375"/>
      <c r="Z17" s="435"/>
      <c r="AA17" s="435"/>
      <c r="AB17" s="435"/>
      <c r="AN17" s="923">
        <v>25425737424.657536</v>
      </c>
    </row>
    <row r="18" spans="1:52" ht="20.25">
      <c r="A18" s="45" t="s">
        <v>902</v>
      </c>
      <c r="E18" s="370">
        <v>562394792.4026978</v>
      </c>
      <c r="F18" s="370">
        <v>663262762.57693946</v>
      </c>
      <c r="G18" s="370">
        <v>502974751.60192317</v>
      </c>
      <c r="H18" s="370">
        <v>444865513.59782344</v>
      </c>
      <c r="I18" s="370">
        <v>409825899.24222195</v>
      </c>
      <c r="J18" s="370">
        <v>531497550.19789469</v>
      </c>
      <c r="K18" s="370">
        <v>673552482.62037313</v>
      </c>
      <c r="L18" s="370">
        <v>493912457.3389048</v>
      </c>
      <c r="M18" s="370">
        <v>551945586.08113837</v>
      </c>
      <c r="N18" s="370">
        <v>382809414.95552284</v>
      </c>
      <c r="O18" s="370">
        <v>528630075.02169842</v>
      </c>
      <c r="P18" s="370"/>
      <c r="Q18" s="370"/>
      <c r="R18" s="370"/>
      <c r="S18" s="548"/>
      <c r="T18" s="548"/>
      <c r="U18" s="370"/>
      <c r="V18" s="370"/>
      <c r="W18" s="370"/>
      <c r="X18" s="370"/>
      <c r="Y18" s="375"/>
      <c r="Z18" s="435"/>
      <c r="AA18" s="435"/>
      <c r="AB18" s="435"/>
    </row>
    <row r="19" spans="1:52" ht="17.25" thickBot="1">
      <c r="I19" s="370"/>
      <c r="J19" s="370"/>
      <c r="K19" s="370"/>
      <c r="L19" s="370"/>
      <c r="M19" s="370"/>
      <c r="N19" s="370"/>
      <c r="O19" s="370"/>
      <c r="P19" s="370"/>
      <c r="Q19" s="573"/>
      <c r="R19" s="370"/>
      <c r="S19" s="548"/>
      <c r="T19" s="549"/>
      <c r="U19" s="370"/>
      <c r="V19" s="370"/>
      <c r="W19" s="370"/>
      <c r="X19" s="370"/>
    </row>
    <row r="20" spans="1:52" ht="21" thickBot="1">
      <c r="B20" s="516"/>
      <c r="C20" s="517"/>
      <c r="D20" s="517"/>
      <c r="E20" s="517" t="s">
        <v>773</v>
      </c>
      <c r="F20" s="315" t="s">
        <v>1147</v>
      </c>
      <c r="G20" s="315" t="s">
        <v>1148</v>
      </c>
      <c r="H20" s="315" t="s">
        <v>1149</v>
      </c>
      <c r="I20" s="315" t="s">
        <v>1150</v>
      </c>
      <c r="J20" s="841" t="s">
        <v>1164</v>
      </c>
      <c r="K20" s="842" t="s">
        <v>1166</v>
      </c>
      <c r="L20" s="842" t="s">
        <v>1167</v>
      </c>
      <c r="M20" s="842" t="s">
        <v>1168</v>
      </c>
      <c r="N20" s="843" t="s">
        <v>1172</v>
      </c>
      <c r="O20" s="843" t="s">
        <v>1174</v>
      </c>
      <c r="P20" s="844" t="s">
        <v>1176</v>
      </c>
      <c r="Q20" s="844" t="s">
        <v>1178</v>
      </c>
      <c r="R20" s="845" t="s">
        <v>1180</v>
      </c>
      <c r="S20" s="845" t="s">
        <v>1182</v>
      </c>
      <c r="T20" s="845" t="s">
        <v>1184</v>
      </c>
      <c r="U20" s="845" t="s">
        <v>1186</v>
      </c>
      <c r="V20" s="351"/>
      <c r="W20" s="351"/>
      <c r="X20" s="351"/>
      <c r="Y20" s="351"/>
      <c r="Z20" s="351"/>
      <c r="AA20" s="351"/>
      <c r="AB20" s="351"/>
      <c r="AC20" s="351"/>
      <c r="AD20" s="351"/>
      <c r="AE20" s="351"/>
      <c r="AF20" s="351"/>
      <c r="AG20" s="351"/>
      <c r="AH20" s="351"/>
      <c r="AI20" s="351"/>
      <c r="AJ20" s="351"/>
      <c r="AK20" s="351"/>
      <c r="AL20" s="351"/>
      <c r="AM20" s="351"/>
    </row>
    <row r="21" spans="1:52">
      <c r="B21" s="592" t="s">
        <v>866</v>
      </c>
      <c r="C21" s="228"/>
      <c r="D21" s="593">
        <f>SUBTOTAL(9,D22:D36)</f>
        <v>5.0400000000000009</v>
      </c>
      <c r="E21" s="623" t="e">
        <f t="shared" ref="E21:S21" si="1">E22+E31</f>
        <v>#REF!</v>
      </c>
      <c r="F21" s="623">
        <f t="shared" si="1"/>
        <v>3693145209.266716</v>
      </c>
      <c r="G21" s="623">
        <f t="shared" si="1"/>
        <v>3037093270.4016528</v>
      </c>
      <c r="H21" s="623">
        <f t="shared" si="1"/>
        <v>2775967790.7741976</v>
      </c>
      <c r="I21" s="623">
        <f t="shared" si="1"/>
        <v>2513040852.7940044</v>
      </c>
      <c r="J21" s="926">
        <f t="shared" si="1"/>
        <v>4017460165.6343451</v>
      </c>
      <c r="K21" s="926">
        <f>K22+K31</f>
        <v>3352127375.2693682</v>
      </c>
      <c r="L21" s="926">
        <f t="shared" si="1"/>
        <v>3052779516.721818</v>
      </c>
      <c r="M21" s="926">
        <f t="shared" si="1"/>
        <v>2785811266.9382925</v>
      </c>
      <c r="N21" s="691">
        <f>N22+N31</f>
        <v>3883098729.1822381</v>
      </c>
      <c r="O21" s="691">
        <f>O22+O31</f>
        <v>3095240366.8409352</v>
      </c>
      <c r="P21" s="624">
        <f t="shared" si="1"/>
        <v>2748263430.8227658</v>
      </c>
      <c r="Q21" s="624">
        <f t="shared" si="1"/>
        <v>2444115237.042398</v>
      </c>
      <c r="R21" s="624">
        <f t="shared" si="1"/>
        <v>3900853641.1822381</v>
      </c>
      <c r="S21" s="624">
        <f t="shared" si="1"/>
        <v>3132223382.8409352</v>
      </c>
      <c r="T21" s="624">
        <f t="shared" ref="T21:U21" si="2">T22+T31</f>
        <v>2787484710.8227658</v>
      </c>
      <c r="U21" s="625">
        <f t="shared" si="2"/>
        <v>2515091037.042398</v>
      </c>
      <c r="V21" s="43"/>
      <c r="W21" s="43"/>
      <c r="X21" s="43"/>
      <c r="Y21" s="43"/>
      <c r="Z21" s="720" t="s">
        <v>871</v>
      </c>
      <c r="AA21" s="233"/>
      <c r="AB21" s="233"/>
      <c r="AC21" s="721"/>
      <c r="AD21" s="228" t="s">
        <v>922</v>
      </c>
      <c r="AE21" s="228"/>
      <c r="AF21" s="228"/>
      <c r="AG21" s="228"/>
      <c r="AH21" s="228"/>
      <c r="AI21" s="228"/>
      <c r="AJ21" s="228"/>
      <c r="AK21" s="685"/>
      <c r="AL21" s="685"/>
      <c r="AM21" s="685"/>
      <c r="AN21" s="685"/>
      <c r="AO21" s="685"/>
      <c r="AP21" s="560"/>
      <c r="AQ21" s="560"/>
      <c r="AR21" s="560"/>
      <c r="AS21" s="560"/>
      <c r="AY21" s="387"/>
      <c r="AZ21" s="386"/>
    </row>
    <row r="22" spans="1:52">
      <c r="B22" s="343" t="s">
        <v>867</v>
      </c>
      <c r="C22" s="436"/>
      <c r="D22" s="437">
        <f>SUBTOTAL(9,D23:D30)</f>
        <v>3.6000000000000005</v>
      </c>
      <c r="E22" s="626" t="e">
        <f t="shared" ref="E22:S22" si="3">SUM(E23:E30)</f>
        <v>#REF!</v>
      </c>
      <c r="F22" s="626">
        <f t="shared" si="3"/>
        <v>2637960863.76194</v>
      </c>
      <c r="G22" s="626">
        <f t="shared" si="3"/>
        <v>2169352336.0011806</v>
      </c>
      <c r="H22" s="626">
        <f t="shared" si="3"/>
        <v>1982834136.2672842</v>
      </c>
      <c r="I22" s="626">
        <f t="shared" si="3"/>
        <v>1795029180.5671458</v>
      </c>
      <c r="J22" s="927">
        <f t="shared" si="3"/>
        <v>2869614404.0245323</v>
      </c>
      <c r="K22" s="927">
        <f>SUM(K23:K30)</f>
        <v>2394376696.6209774</v>
      </c>
      <c r="L22" s="927">
        <f>SUM(L23:L30)</f>
        <v>2180556797.6584415</v>
      </c>
      <c r="M22" s="927">
        <f>SUM(M23:M30)</f>
        <v>1989865190.6702089</v>
      </c>
      <c r="N22" s="692">
        <f t="shared" si="3"/>
        <v>2773641949.4158845</v>
      </c>
      <c r="O22" s="692">
        <f t="shared" ref="O22" si="4">SUM(O23:O30)</f>
        <v>2210885976.3149538</v>
      </c>
      <c r="P22" s="627">
        <f t="shared" si="3"/>
        <v>1963045307.730547</v>
      </c>
      <c r="Q22" s="627">
        <f t="shared" si="3"/>
        <v>1745796597.8874271</v>
      </c>
      <c r="R22" s="627">
        <f t="shared" si="3"/>
        <v>2786324029.4158845</v>
      </c>
      <c r="S22" s="627">
        <f t="shared" si="3"/>
        <v>2237302416.3149538</v>
      </c>
      <c r="T22" s="627">
        <f t="shared" ref="T22:U22" si="5">SUM(T23:T30)</f>
        <v>1991060507.730547</v>
      </c>
      <c r="U22" s="628">
        <f t="shared" si="5"/>
        <v>1796493597.8874271</v>
      </c>
      <c r="V22" s="43"/>
      <c r="W22" s="43"/>
      <c r="X22" s="43"/>
      <c r="Y22" s="43"/>
      <c r="Z22" s="722"/>
      <c r="AA22" s="319" t="s">
        <v>872</v>
      </c>
      <c r="AB22" s="319" t="s">
        <v>650</v>
      </c>
      <c r="AC22" s="723" t="s">
        <v>663</v>
      </c>
      <c r="AD22" s="319" t="s">
        <v>651</v>
      </c>
      <c r="AE22" s="790" t="s">
        <v>773</v>
      </c>
      <c r="AF22" s="315" t="s">
        <v>1147</v>
      </c>
      <c r="AG22" s="315" t="s">
        <v>1148</v>
      </c>
      <c r="AH22" s="315" t="s">
        <v>1149</v>
      </c>
      <c r="AI22" s="315" t="s">
        <v>1150</v>
      </c>
      <c r="AJ22" s="841" t="s">
        <v>1164</v>
      </c>
      <c r="AK22" s="842" t="s">
        <v>1166</v>
      </c>
      <c r="AL22" s="842" t="s">
        <v>1167</v>
      </c>
      <c r="AM22" s="842" t="s">
        <v>1168</v>
      </c>
      <c r="AN22" s="843" t="s">
        <v>1172</v>
      </c>
      <c r="AO22" s="843" t="s">
        <v>1174</v>
      </c>
      <c r="AP22" s="844" t="s">
        <v>1176</v>
      </c>
      <c r="AQ22" s="844" t="s">
        <v>1178</v>
      </c>
      <c r="AR22" s="845" t="s">
        <v>1180</v>
      </c>
      <c r="AS22" s="845" t="s">
        <v>1182</v>
      </c>
      <c r="AT22" s="845" t="s">
        <v>1184</v>
      </c>
      <c r="AU22" s="845" t="s">
        <v>1186</v>
      </c>
      <c r="AY22" s="387"/>
      <c r="AZ22" s="386"/>
    </row>
    <row r="23" spans="1:52">
      <c r="B23" s="222" t="s">
        <v>612</v>
      </c>
      <c r="C23" s="358"/>
      <c r="D23" s="388">
        <v>1</v>
      </c>
      <c r="E23" s="629" t="e">
        <f>#REF!</f>
        <v>#REF!</v>
      </c>
      <c r="F23" s="629">
        <f>'2-2. Equipment cost'!D2</f>
        <v>732766906.60053885</v>
      </c>
      <c r="G23" s="629">
        <f>'2-2. Equipment cost'!E2</f>
        <v>602597871.11143911</v>
      </c>
      <c r="H23" s="629">
        <f>'2-2. Equipment cost'!F2</f>
        <v>550787260.07424557</v>
      </c>
      <c r="I23" s="629">
        <f>'2-2. Equipment cost'!G2</f>
        <v>498619216.82420719</v>
      </c>
      <c r="J23" s="926">
        <f>'2-2. Equipment cost'!H2</f>
        <v>797115112.22903681</v>
      </c>
      <c r="K23" s="926">
        <f>'2-2. Equipment cost'!I2</f>
        <v>665104637.95027149</v>
      </c>
      <c r="L23" s="926">
        <f>'2-2. Equipment cost'!J2</f>
        <v>605710221.57178926</v>
      </c>
      <c r="M23" s="926">
        <f>'2-2. Equipment cost'!K2</f>
        <v>552740330.74172473</v>
      </c>
      <c r="N23" s="629">
        <f>'2-2. Equipment cost'!L2</f>
        <v>770456097.05996788</v>
      </c>
      <c r="O23" s="629">
        <f>'2-2. Equipment cost'!M2</f>
        <v>614134993.42082047</v>
      </c>
      <c r="P23" s="629">
        <f>'2-2. Equipment cost'!N2</f>
        <v>545290363.25848532</v>
      </c>
      <c r="Q23" s="629">
        <f>'2-2. Equipment cost'!O2</f>
        <v>484943499.41317427</v>
      </c>
      <c r="R23" s="629">
        <f>'2-2. Equipment cost'!P2</f>
        <v>773978897.05996788</v>
      </c>
      <c r="S23" s="629">
        <f>'2-2. Equipment cost'!Q2</f>
        <v>621472893.42082047</v>
      </c>
      <c r="T23" s="629">
        <f>'2-2. Equipment cost'!R2</f>
        <v>553072363.25848532</v>
      </c>
      <c r="U23" s="868">
        <f>'2-2. Equipment cost'!S2</f>
        <v>499025999.41317427</v>
      </c>
      <c r="V23" s="390"/>
      <c r="W23" s="370"/>
      <c r="X23" s="370"/>
      <c r="Z23" s="724" t="s">
        <v>932</v>
      </c>
      <c r="AA23" s="319"/>
      <c r="AB23" s="319"/>
      <c r="AC23" s="723"/>
      <c r="AD23" s="319"/>
      <c r="AE23" s="790"/>
      <c r="AF23" s="319"/>
      <c r="AG23" s="319"/>
      <c r="AH23" s="319"/>
      <c r="AI23" s="319"/>
      <c r="AJ23" s="319"/>
      <c r="AK23" s="686"/>
      <c r="AL23" s="686"/>
      <c r="AM23" s="686"/>
      <c r="AN23" s="686"/>
      <c r="AO23" s="686"/>
      <c r="AP23" s="561"/>
      <c r="AQ23" s="561"/>
      <c r="AR23" s="561"/>
      <c r="AS23" s="561"/>
      <c r="AY23" s="387"/>
      <c r="AZ23" s="386"/>
    </row>
    <row r="24" spans="1:52">
      <c r="B24" s="222" t="s">
        <v>635</v>
      </c>
      <c r="C24" s="358"/>
      <c r="D24" s="388">
        <v>0.47</v>
      </c>
      <c r="E24" s="630" t="e">
        <f t="shared" ref="E24:H36" si="6">E$23*$D24</f>
        <v>#REF!</v>
      </c>
      <c r="F24" s="630">
        <f t="shared" si="6"/>
        <v>344400446.10225326</v>
      </c>
      <c r="G24" s="630">
        <f t="shared" si="6"/>
        <v>283220999.42237639</v>
      </c>
      <c r="H24" s="630">
        <f t="shared" si="6"/>
        <v>258870012.23489541</v>
      </c>
      <c r="I24" s="630">
        <f t="shared" ref="I24:U24" si="7">I$23*$D24</f>
        <v>234351031.90737736</v>
      </c>
      <c r="J24" s="928">
        <f t="shared" si="7"/>
        <v>374644102.74764729</v>
      </c>
      <c r="K24" s="928">
        <f t="shared" si="7"/>
        <v>312599179.8366276</v>
      </c>
      <c r="L24" s="928">
        <f t="shared" si="7"/>
        <v>284683804.13874096</v>
      </c>
      <c r="M24" s="928">
        <f t="shared" si="7"/>
        <v>259787955.4486106</v>
      </c>
      <c r="N24" s="693">
        <f t="shared" si="7"/>
        <v>362114365.61818486</v>
      </c>
      <c r="O24" s="693">
        <f t="shared" si="7"/>
        <v>288643446.90778559</v>
      </c>
      <c r="P24" s="631">
        <f t="shared" si="7"/>
        <v>256286470.73148808</v>
      </c>
      <c r="Q24" s="631">
        <f t="shared" si="7"/>
        <v>227923444.7241919</v>
      </c>
      <c r="R24" s="631">
        <f t="shared" si="7"/>
        <v>363770081.61818486</v>
      </c>
      <c r="S24" s="631">
        <f t="shared" si="7"/>
        <v>292092259.90778559</v>
      </c>
      <c r="T24" s="631">
        <f t="shared" si="7"/>
        <v>259944010.73148808</v>
      </c>
      <c r="U24" s="632">
        <f t="shared" si="7"/>
        <v>234542219.7241919</v>
      </c>
      <c r="V24" s="43"/>
      <c r="W24" s="43"/>
      <c r="X24" s="43"/>
      <c r="Y24" s="43"/>
      <c r="Z24" s="725" t="s">
        <v>880</v>
      </c>
      <c r="AA24" s="859">
        <v>3.27</v>
      </c>
      <c r="AB24" s="358" t="s">
        <v>680</v>
      </c>
      <c r="AC24" s="726">
        <v>1</v>
      </c>
      <c r="AD24" s="456" t="s">
        <v>681</v>
      </c>
      <c r="AE24" s="791">
        <f t="shared" ref="AE24:AU24" si="8">327437.649716956/28.263682*8000</f>
        <v>92680819.071473002</v>
      </c>
      <c r="AF24" s="688">
        <f t="shared" si="8"/>
        <v>92680819.071473002</v>
      </c>
      <c r="AG24" s="688">
        <f t="shared" si="8"/>
        <v>92680819.071473002</v>
      </c>
      <c r="AH24" s="688">
        <f t="shared" si="8"/>
        <v>92680819.071473002</v>
      </c>
      <c r="AI24" s="688">
        <f t="shared" si="8"/>
        <v>92680819.071473002</v>
      </c>
      <c r="AJ24" s="688">
        <f t="shared" si="8"/>
        <v>92680819.071473002</v>
      </c>
      <c r="AK24" s="689">
        <f t="shared" si="8"/>
        <v>92680819.071473002</v>
      </c>
      <c r="AL24" s="689">
        <f t="shared" si="8"/>
        <v>92680819.071473002</v>
      </c>
      <c r="AM24" s="689">
        <f t="shared" si="8"/>
        <v>92680819.071473002</v>
      </c>
      <c r="AN24" s="689">
        <f t="shared" si="8"/>
        <v>92680819.071473002</v>
      </c>
      <c r="AO24" s="689">
        <f t="shared" si="8"/>
        <v>92680819.071473002</v>
      </c>
      <c r="AP24" s="689">
        <f t="shared" si="8"/>
        <v>92680819.071473002</v>
      </c>
      <c r="AQ24" s="689">
        <f t="shared" si="8"/>
        <v>92680819.071473002</v>
      </c>
      <c r="AR24" s="689">
        <f t="shared" si="8"/>
        <v>92680819.071473002</v>
      </c>
      <c r="AS24" s="689">
        <f t="shared" si="8"/>
        <v>92680819.071473002</v>
      </c>
      <c r="AT24" s="689">
        <f t="shared" si="8"/>
        <v>92680819.071473002</v>
      </c>
      <c r="AU24" s="689">
        <f t="shared" si="8"/>
        <v>92680819.071473002</v>
      </c>
      <c r="AY24" s="387"/>
      <c r="AZ24" s="386"/>
    </row>
    <row r="25" spans="1:52">
      <c r="B25" s="222" t="s">
        <v>636</v>
      </c>
      <c r="C25" s="358"/>
      <c r="D25" s="388">
        <v>0.36</v>
      </c>
      <c r="E25" s="630" t="e">
        <f t="shared" si="6"/>
        <v>#REF!</v>
      </c>
      <c r="F25" s="630">
        <f t="shared" si="6"/>
        <v>263796086.37619397</v>
      </c>
      <c r="G25" s="630">
        <f t="shared" si="6"/>
        <v>216935233.60011807</v>
      </c>
      <c r="H25" s="630">
        <f t="shared" si="6"/>
        <v>198283413.62672839</v>
      </c>
      <c r="I25" s="630">
        <f t="shared" ref="I25:U36" si="9">I$23*$D25</f>
        <v>179502918.05671459</v>
      </c>
      <c r="J25" s="928">
        <f t="shared" si="9"/>
        <v>286961440.40245324</v>
      </c>
      <c r="K25" s="928">
        <f t="shared" si="9"/>
        <v>239437669.66209772</v>
      </c>
      <c r="L25" s="928">
        <f t="shared" si="9"/>
        <v>218055679.76584414</v>
      </c>
      <c r="M25" s="928">
        <f t="shared" si="9"/>
        <v>198986519.06702089</v>
      </c>
      <c r="N25" s="693">
        <f t="shared" si="9"/>
        <v>277364194.9415884</v>
      </c>
      <c r="O25" s="693">
        <f t="shared" si="9"/>
        <v>221088597.63149536</v>
      </c>
      <c r="P25" s="631">
        <f t="shared" si="9"/>
        <v>196304530.77305472</v>
      </c>
      <c r="Q25" s="631">
        <f t="shared" si="9"/>
        <v>174579659.78874272</v>
      </c>
      <c r="R25" s="631">
        <f t="shared" si="9"/>
        <v>278632402.9415884</v>
      </c>
      <c r="S25" s="631">
        <f t="shared" si="9"/>
        <v>223730241.63149536</v>
      </c>
      <c r="T25" s="631">
        <f t="shared" si="9"/>
        <v>199106050.77305472</v>
      </c>
      <c r="U25" s="632">
        <f t="shared" si="9"/>
        <v>179649359.78874272</v>
      </c>
      <c r="V25" s="390"/>
      <c r="W25" s="370"/>
      <c r="X25" s="370"/>
      <c r="Z25" s="725" t="s">
        <v>167</v>
      </c>
      <c r="AA25" s="859">
        <v>40</v>
      </c>
      <c r="AB25" s="358" t="s">
        <v>666</v>
      </c>
      <c r="AC25" s="726">
        <v>1</v>
      </c>
      <c r="AD25" s="456" t="s">
        <v>671</v>
      </c>
      <c r="AE25" s="791">
        <v>358386.56</v>
      </c>
      <c r="AF25" s="857">
        <v>7751597.01577817</v>
      </c>
      <c r="AG25" s="689">
        <v>5965727.6391807199</v>
      </c>
      <c r="AH25" s="689">
        <v>4941601.7061823998</v>
      </c>
      <c r="AI25" s="689">
        <v>4215459.13982209</v>
      </c>
      <c r="AJ25" s="857">
        <v>7751597.01577817</v>
      </c>
      <c r="AK25" s="689">
        <v>5965727.6391807199</v>
      </c>
      <c r="AL25" s="689">
        <v>4941601.7061823998</v>
      </c>
      <c r="AM25" s="689">
        <v>4215459.13982209</v>
      </c>
      <c r="AN25" s="857"/>
      <c r="AO25" s="689"/>
      <c r="AP25" s="690"/>
      <c r="AQ25" s="690">
        <v>0</v>
      </c>
      <c r="AR25" s="690"/>
      <c r="AS25" s="690">
        <v>0</v>
      </c>
      <c r="AY25" s="387"/>
      <c r="AZ25" s="386"/>
    </row>
    <row r="26" spans="1:52">
      <c r="B26" s="222" t="s">
        <v>637</v>
      </c>
      <c r="C26" s="358"/>
      <c r="D26" s="388">
        <v>0.68</v>
      </c>
      <c r="E26" s="630" t="e">
        <f t="shared" si="6"/>
        <v>#REF!</v>
      </c>
      <c r="F26" s="630">
        <f t="shared" si="6"/>
        <v>498281496.48836643</v>
      </c>
      <c r="G26" s="630">
        <f t="shared" si="6"/>
        <v>409766552.35577863</v>
      </c>
      <c r="H26" s="630">
        <f t="shared" si="6"/>
        <v>374535336.85048699</v>
      </c>
      <c r="I26" s="630">
        <f t="shared" si="9"/>
        <v>339061067.44046092</v>
      </c>
      <c r="J26" s="928">
        <f t="shared" si="9"/>
        <v>542038276.31574512</v>
      </c>
      <c r="K26" s="928">
        <f t="shared" si="9"/>
        <v>452271153.80618465</v>
      </c>
      <c r="L26" s="928">
        <f t="shared" si="9"/>
        <v>411882950.66881675</v>
      </c>
      <c r="M26" s="928">
        <f t="shared" si="9"/>
        <v>375863424.90437287</v>
      </c>
      <c r="N26" s="693">
        <f t="shared" si="9"/>
        <v>523910146.0007782</v>
      </c>
      <c r="O26" s="693">
        <f t="shared" si="9"/>
        <v>417611795.52615798</v>
      </c>
      <c r="P26" s="631">
        <f t="shared" si="9"/>
        <v>370797447.01577002</v>
      </c>
      <c r="Q26" s="631">
        <f>Q$23*$D26</f>
        <v>329761579.60095853</v>
      </c>
      <c r="R26" s="631">
        <f>R$23*$D26</f>
        <v>526305650.0007782</v>
      </c>
      <c r="S26" s="631">
        <f>S$23*$D26</f>
        <v>422601567.52615798</v>
      </c>
      <c r="T26" s="631">
        <f t="shared" si="9"/>
        <v>376089207.01577002</v>
      </c>
      <c r="U26" s="632">
        <f t="shared" si="9"/>
        <v>339337679.60095853</v>
      </c>
      <c r="V26" s="390"/>
      <c r="W26" s="370"/>
      <c r="X26" s="370"/>
      <c r="Z26" s="725" t="s">
        <v>930</v>
      </c>
      <c r="AA26" s="859">
        <v>3.5000000000000003E-2</v>
      </c>
      <c r="AB26" s="358" t="s">
        <v>664</v>
      </c>
      <c r="AC26" s="726">
        <v>1</v>
      </c>
      <c r="AD26" s="456" t="s">
        <v>677</v>
      </c>
      <c r="AE26" s="791">
        <v>0</v>
      </c>
      <c r="AF26" s="688">
        <v>0</v>
      </c>
      <c r="AG26" s="688">
        <v>0</v>
      </c>
      <c r="AH26" s="688">
        <v>0</v>
      </c>
      <c r="AI26" s="688">
        <v>0</v>
      </c>
      <c r="AJ26" s="688">
        <v>0</v>
      </c>
      <c r="AK26" s="689"/>
      <c r="AL26" s="689"/>
      <c r="AM26" s="689"/>
      <c r="AN26" s="689">
        <v>0</v>
      </c>
      <c r="AO26" s="689"/>
      <c r="AP26" s="690">
        <v>0</v>
      </c>
      <c r="AQ26" s="690"/>
      <c r="AR26" s="690"/>
      <c r="AS26" s="690"/>
      <c r="AY26" s="387"/>
      <c r="AZ26" s="386"/>
    </row>
    <row r="27" spans="1:52">
      <c r="B27" s="222" t="s">
        <v>638</v>
      </c>
      <c r="C27" s="358"/>
      <c r="D27" s="388">
        <v>0.11</v>
      </c>
      <c r="E27" s="630" t="e">
        <f t="shared" si="6"/>
        <v>#REF!</v>
      </c>
      <c r="F27" s="630">
        <f t="shared" si="6"/>
        <v>80604359.726059273</v>
      </c>
      <c r="G27" s="630">
        <f t="shared" si="6"/>
        <v>66285765.822258301</v>
      </c>
      <c r="H27" s="630">
        <f t="shared" si="6"/>
        <v>60586598.608167015</v>
      </c>
      <c r="I27" s="630">
        <f t="shared" si="9"/>
        <v>54848113.85066279</v>
      </c>
      <c r="J27" s="928">
        <f t="shared" si="9"/>
        <v>87682662.345194057</v>
      </c>
      <c r="K27" s="928">
        <f t="shared" si="9"/>
        <v>73161510.174529865</v>
      </c>
      <c r="L27" s="928">
        <f t="shared" si="9"/>
        <v>66628124.37289682</v>
      </c>
      <c r="M27" s="928">
        <f t="shared" si="9"/>
        <v>60801436.381589718</v>
      </c>
      <c r="N27" s="693">
        <f t="shared" si="9"/>
        <v>84750170.676596463</v>
      </c>
      <c r="O27" s="693">
        <f t="shared" si="9"/>
        <v>67554849.276290253</v>
      </c>
      <c r="P27" s="631">
        <f t="shared" si="9"/>
        <v>59981939.958433382</v>
      </c>
      <c r="Q27" s="631">
        <f t="shared" si="9"/>
        <v>53343784.935449168</v>
      </c>
      <c r="R27" s="631">
        <f t="shared" si="9"/>
        <v>85137678.676596463</v>
      </c>
      <c r="S27" s="631">
        <f t="shared" si="9"/>
        <v>68362018.276290253</v>
      </c>
      <c r="T27" s="631">
        <f t="shared" si="9"/>
        <v>60837959.958433382</v>
      </c>
      <c r="U27" s="632">
        <f t="shared" si="9"/>
        <v>54892859.935449168</v>
      </c>
      <c r="V27" s="390"/>
      <c r="W27" s="370"/>
      <c r="X27" s="370"/>
      <c r="Z27" s="727" t="s">
        <v>1039</v>
      </c>
      <c r="AA27" s="859">
        <v>3.53</v>
      </c>
      <c r="AB27" s="358" t="s">
        <v>664</v>
      </c>
      <c r="AC27" s="726">
        <v>1</v>
      </c>
      <c r="AD27" s="456" t="s">
        <v>677</v>
      </c>
      <c r="AE27" s="791">
        <v>0</v>
      </c>
      <c r="AF27" s="688">
        <v>0</v>
      </c>
      <c r="AG27" s="688">
        <v>0</v>
      </c>
      <c r="AH27" s="688">
        <v>0</v>
      </c>
      <c r="AI27" s="688">
        <v>0</v>
      </c>
      <c r="AJ27" s="688">
        <v>0</v>
      </c>
      <c r="AK27" s="689"/>
      <c r="AL27" s="689"/>
      <c r="AM27" s="689"/>
      <c r="AN27" s="689">
        <v>0</v>
      </c>
      <c r="AO27" s="689"/>
      <c r="AP27" s="690">
        <v>0</v>
      </c>
      <c r="AQ27" s="690"/>
      <c r="AR27" s="690"/>
      <c r="AS27" s="690"/>
      <c r="AY27" s="387"/>
      <c r="AZ27" s="386"/>
    </row>
    <row r="28" spans="1:52">
      <c r="B28" s="222" t="s">
        <v>639</v>
      </c>
      <c r="C28" s="358"/>
      <c r="D28" s="388">
        <v>0.18</v>
      </c>
      <c r="E28" s="630" t="e">
        <f t="shared" si="6"/>
        <v>#REF!</v>
      </c>
      <c r="F28" s="630">
        <f t="shared" si="6"/>
        <v>131898043.18809699</v>
      </c>
      <c r="G28" s="630">
        <f t="shared" si="6"/>
        <v>108467616.80005904</v>
      </c>
      <c r="H28" s="630">
        <f t="shared" si="6"/>
        <v>99141706.813364193</v>
      </c>
      <c r="I28" s="630">
        <f t="shared" si="9"/>
        <v>89751459.028357297</v>
      </c>
      <c r="J28" s="928">
        <f t="shared" si="9"/>
        <v>143480720.20122662</v>
      </c>
      <c r="K28" s="928">
        <f t="shared" si="9"/>
        <v>119718834.83104886</v>
      </c>
      <c r="L28" s="928">
        <f t="shared" si="9"/>
        <v>109027839.88292207</v>
      </c>
      <c r="M28" s="928">
        <f t="shared" si="9"/>
        <v>99493259.533510447</v>
      </c>
      <c r="N28" s="693">
        <f t="shared" si="9"/>
        <v>138682097.4707942</v>
      </c>
      <c r="O28" s="693">
        <f t="shared" si="9"/>
        <v>110544298.81574768</v>
      </c>
      <c r="P28" s="631">
        <f t="shared" si="9"/>
        <v>98152265.386527359</v>
      </c>
      <c r="Q28" s="631">
        <f t="shared" si="9"/>
        <v>87289829.894371361</v>
      </c>
      <c r="R28" s="631">
        <f t="shared" si="9"/>
        <v>139316201.4707942</v>
      </c>
      <c r="S28" s="631">
        <f t="shared" si="9"/>
        <v>111865120.81574768</v>
      </c>
      <c r="T28" s="631">
        <f t="shared" si="9"/>
        <v>99553025.386527359</v>
      </c>
      <c r="U28" s="632">
        <f t="shared" si="9"/>
        <v>89824679.894371361</v>
      </c>
      <c r="V28" s="43"/>
      <c r="W28" s="43"/>
      <c r="X28" s="43"/>
      <c r="Y28" s="43"/>
      <c r="Z28" s="727" t="s">
        <v>1045</v>
      </c>
      <c r="AA28" s="859">
        <v>430</v>
      </c>
      <c r="AB28" s="719" t="s">
        <v>666</v>
      </c>
      <c r="AC28" s="726">
        <v>1</v>
      </c>
      <c r="AD28" s="584" t="s">
        <v>671</v>
      </c>
      <c r="AE28" s="791">
        <v>0</v>
      </c>
      <c r="AF28" s="688">
        <v>0</v>
      </c>
      <c r="AG28" s="688">
        <v>0</v>
      </c>
      <c r="AH28" s="688">
        <v>0</v>
      </c>
      <c r="AI28" s="688">
        <v>0</v>
      </c>
      <c r="AJ28" s="688">
        <v>0</v>
      </c>
      <c r="AK28" s="689"/>
      <c r="AL28" s="689"/>
      <c r="AM28" s="689"/>
      <c r="AN28" s="689">
        <v>0</v>
      </c>
      <c r="AO28" s="689"/>
      <c r="AP28" s="690">
        <v>0</v>
      </c>
      <c r="AQ28" s="690"/>
      <c r="AR28" s="690"/>
      <c r="AS28" s="690"/>
      <c r="AY28" s="387"/>
      <c r="AZ28" s="386"/>
    </row>
    <row r="29" spans="1:52">
      <c r="B29" s="222" t="s">
        <v>640</v>
      </c>
      <c r="C29" s="358"/>
      <c r="D29" s="388">
        <v>0.1</v>
      </c>
      <c r="E29" s="630" t="e">
        <f t="shared" si="6"/>
        <v>#REF!</v>
      </c>
      <c r="F29" s="630">
        <f t="shared" si="6"/>
        <v>73276690.660053894</v>
      </c>
      <c r="G29" s="630">
        <f t="shared" si="6"/>
        <v>60259787.111143917</v>
      </c>
      <c r="H29" s="630">
        <f t="shared" si="6"/>
        <v>55078726.007424563</v>
      </c>
      <c r="I29" s="630">
        <f t="shared" si="9"/>
        <v>49861921.682420723</v>
      </c>
      <c r="J29" s="928">
        <f t="shared" si="9"/>
        <v>79711511.222903684</v>
      </c>
      <c r="K29" s="928">
        <f t="shared" si="9"/>
        <v>66510463.795027152</v>
      </c>
      <c r="L29" s="928">
        <f t="shared" si="9"/>
        <v>60571022.157178931</v>
      </c>
      <c r="M29" s="928">
        <f t="shared" si="9"/>
        <v>55274033.074172474</v>
      </c>
      <c r="N29" s="693">
        <f t="shared" si="9"/>
        <v>77045609.705996796</v>
      </c>
      <c r="O29" s="693">
        <f t="shared" si="9"/>
        <v>61413499.342082053</v>
      </c>
      <c r="P29" s="631">
        <f t="shared" si="9"/>
        <v>54529036.325848535</v>
      </c>
      <c r="Q29" s="631">
        <f t="shared" si="9"/>
        <v>48494349.941317432</v>
      </c>
      <c r="R29" s="631">
        <f t="shared" si="9"/>
        <v>77397889.705996796</v>
      </c>
      <c r="S29" s="631">
        <f t="shared" si="9"/>
        <v>62147289.342082053</v>
      </c>
      <c r="T29" s="631">
        <f t="shared" si="9"/>
        <v>55307236.325848535</v>
      </c>
      <c r="U29" s="632">
        <f t="shared" si="9"/>
        <v>49902599.941317432</v>
      </c>
      <c r="V29" s="393"/>
      <c r="W29" s="370"/>
      <c r="X29" s="370"/>
      <c r="Z29" s="727" t="s">
        <v>1047</v>
      </c>
      <c r="AA29" s="859">
        <v>4.7336999999999998</v>
      </c>
      <c r="AB29" s="719" t="s">
        <v>664</v>
      </c>
      <c r="AC29" s="726">
        <v>1</v>
      </c>
      <c r="AD29" s="584" t="s">
        <v>677</v>
      </c>
      <c r="AE29" s="791">
        <v>0</v>
      </c>
      <c r="AF29" s="688">
        <v>0</v>
      </c>
      <c r="AG29" s="688">
        <v>0</v>
      </c>
      <c r="AH29" s="688">
        <v>0</v>
      </c>
      <c r="AI29" s="688">
        <v>0</v>
      </c>
      <c r="AJ29" s="688">
        <v>0</v>
      </c>
      <c r="AK29" s="689"/>
      <c r="AL29" s="689"/>
      <c r="AM29" s="689"/>
      <c r="AN29" s="689">
        <v>0</v>
      </c>
      <c r="AO29" s="689"/>
      <c r="AP29" s="690">
        <v>0</v>
      </c>
      <c r="AQ29" s="690"/>
      <c r="AR29" s="690"/>
      <c r="AS29" s="690"/>
      <c r="AY29" s="387"/>
      <c r="AZ29" s="386"/>
    </row>
    <row r="30" spans="1:52">
      <c r="B30" s="222" t="s">
        <v>641</v>
      </c>
      <c r="C30" s="358"/>
      <c r="D30" s="388">
        <v>0.7</v>
      </c>
      <c r="E30" s="630" t="e">
        <f t="shared" si="6"/>
        <v>#REF!</v>
      </c>
      <c r="F30" s="630">
        <f t="shared" si="6"/>
        <v>512936834.62037718</v>
      </c>
      <c r="G30" s="630">
        <f t="shared" si="6"/>
        <v>421818509.77800733</v>
      </c>
      <c r="H30" s="630">
        <f t="shared" si="6"/>
        <v>385551082.05197185</v>
      </c>
      <c r="I30" s="630">
        <f t="shared" si="9"/>
        <v>349033451.77694499</v>
      </c>
      <c r="J30" s="928">
        <f t="shared" si="9"/>
        <v>557980578.56032574</v>
      </c>
      <c r="K30" s="928">
        <f t="shared" si="9"/>
        <v>465573246.56519002</v>
      </c>
      <c r="L30" s="928">
        <f t="shared" si="9"/>
        <v>423997155.10025245</v>
      </c>
      <c r="M30" s="928">
        <f t="shared" si="9"/>
        <v>386918231.5192073</v>
      </c>
      <c r="N30" s="693">
        <f t="shared" si="9"/>
        <v>539319267.9419775</v>
      </c>
      <c r="O30" s="693">
        <f t="shared" si="9"/>
        <v>429894495.39457428</v>
      </c>
      <c r="P30" s="631">
        <f t="shared" si="9"/>
        <v>381703254.2809397</v>
      </c>
      <c r="Q30" s="631">
        <f t="shared" si="9"/>
        <v>339460449.58922195</v>
      </c>
      <c r="R30" s="631">
        <f t="shared" si="9"/>
        <v>541785227.9419775</v>
      </c>
      <c r="S30" s="631">
        <f t="shared" si="9"/>
        <v>435031025.39457428</v>
      </c>
      <c r="T30" s="631">
        <f t="shared" si="9"/>
        <v>387150654.2809397</v>
      </c>
      <c r="U30" s="632">
        <f t="shared" si="9"/>
        <v>349318199.58922195</v>
      </c>
      <c r="V30" s="354"/>
      <c r="W30" s="370"/>
      <c r="X30" s="370"/>
      <c r="Z30" s="728" t="s">
        <v>1143</v>
      </c>
      <c r="AA30" s="859">
        <v>1</v>
      </c>
      <c r="AB30" s="719" t="s">
        <v>666</v>
      </c>
      <c r="AC30" s="726">
        <v>1</v>
      </c>
      <c r="AD30" s="456" t="s">
        <v>671</v>
      </c>
      <c r="AF30" s="805">
        <v>0</v>
      </c>
      <c r="AG30" s="805">
        <v>0</v>
      </c>
      <c r="AH30" s="805">
        <v>0</v>
      </c>
      <c r="AI30" s="805">
        <v>0</v>
      </c>
      <c r="AJ30" s="805">
        <f>58178.3112416856*8000/1000</f>
        <v>465426.48993348482</v>
      </c>
      <c r="AK30" s="805">
        <f>62277.0741321793*8000/1000</f>
        <v>498216.59305743442</v>
      </c>
      <c r="AL30" s="805">
        <f>102903.871578762*8000/1000</f>
        <v>823230.9726300959</v>
      </c>
      <c r="AM30" s="805">
        <f>96072.9243363044*8000/1000</f>
        <v>768583.39469043515</v>
      </c>
      <c r="AN30" s="805">
        <v>0</v>
      </c>
      <c r="AO30" s="805">
        <v>0</v>
      </c>
      <c r="AP30" s="805">
        <v>0</v>
      </c>
      <c r="AQ30" s="805">
        <v>0</v>
      </c>
      <c r="AR30" s="805">
        <f>8563.15309101993*8000/1000</f>
        <v>68505.224728159446</v>
      </c>
      <c r="AS30" s="690">
        <f>21085.4958430695*8000/1000</f>
        <v>168683.966744556</v>
      </c>
      <c r="AT30" s="805">
        <f>22664.9614107886*8000/1000</f>
        <v>181319.69128630881</v>
      </c>
      <c r="AU30" s="805">
        <f>25175.4567758024*8000/1000</f>
        <v>201403.65420641919</v>
      </c>
      <c r="AY30" s="387"/>
      <c r="AZ30" s="386"/>
    </row>
    <row r="31" spans="1:52" s="574" customFormat="1">
      <c r="B31" s="343" t="s">
        <v>868</v>
      </c>
      <c r="C31" s="436"/>
      <c r="D31" s="437">
        <f>SUBTOTAL(9,D32:D36)</f>
        <v>1.44</v>
      </c>
      <c r="E31" s="626" t="e">
        <f t="shared" si="6"/>
        <v>#REF!</v>
      </c>
      <c r="F31" s="626">
        <f t="shared" si="6"/>
        <v>1055184345.5047759</v>
      </c>
      <c r="G31" s="626">
        <f t="shared" si="6"/>
        <v>867740934.40047228</v>
      </c>
      <c r="H31" s="626">
        <f t="shared" si="6"/>
        <v>793133654.50691354</v>
      </c>
      <c r="I31" s="626">
        <f t="shared" si="9"/>
        <v>718011672.22685838</v>
      </c>
      <c r="J31" s="927">
        <f t="shared" si="9"/>
        <v>1147845761.609813</v>
      </c>
      <c r="K31" s="927">
        <f>K$23*$D31</f>
        <v>957750678.64839089</v>
      </c>
      <c r="L31" s="927">
        <f t="shared" si="9"/>
        <v>872222719.06337655</v>
      </c>
      <c r="M31" s="927">
        <f t="shared" si="9"/>
        <v>795946076.26808357</v>
      </c>
      <c r="N31" s="692">
        <f t="shared" si="9"/>
        <v>1109456779.7663536</v>
      </c>
      <c r="O31" s="692">
        <f t="shared" si="9"/>
        <v>884354390.52598143</v>
      </c>
      <c r="P31" s="627">
        <f t="shared" si="9"/>
        <v>785218123.09221888</v>
      </c>
      <c r="Q31" s="627">
        <f t="shared" si="9"/>
        <v>698318639.15497088</v>
      </c>
      <c r="R31" s="627">
        <f t="shared" si="9"/>
        <v>1114529611.7663536</v>
      </c>
      <c r="S31" s="627">
        <f t="shared" si="9"/>
        <v>894920966.52598143</v>
      </c>
      <c r="T31" s="627">
        <f t="shared" si="9"/>
        <v>796424203.09221888</v>
      </c>
      <c r="U31" s="628">
        <f t="shared" si="9"/>
        <v>718597439.15497088</v>
      </c>
      <c r="V31" s="585"/>
      <c r="Z31" s="724" t="s">
        <v>931</v>
      </c>
      <c r="AA31" s="859"/>
      <c r="AB31" s="358"/>
      <c r="AC31" s="726"/>
      <c r="AD31" s="456"/>
      <c r="AE31" s="791"/>
      <c r="AF31" s="688"/>
      <c r="AG31" s="688"/>
      <c r="AH31" s="688"/>
      <c r="AI31" s="688"/>
      <c r="AJ31" s="688"/>
      <c r="AK31" s="689"/>
      <c r="AL31" s="689"/>
      <c r="AM31" s="689"/>
      <c r="AN31" s="689"/>
      <c r="AO31" s="689"/>
      <c r="AP31" s="690"/>
      <c r="AQ31" s="690"/>
      <c r="AR31" s="690"/>
      <c r="AS31" s="690"/>
      <c r="AT31" s="370"/>
      <c r="AU31" s="183"/>
      <c r="AY31" s="589"/>
      <c r="AZ31" s="590"/>
    </row>
    <row r="32" spans="1:52">
      <c r="B32" s="222" t="s">
        <v>642</v>
      </c>
      <c r="C32" s="358"/>
      <c r="D32" s="388">
        <v>0.33</v>
      </c>
      <c r="E32" s="630" t="e">
        <f t="shared" si="6"/>
        <v>#REF!</v>
      </c>
      <c r="F32" s="630">
        <f t="shared" si="6"/>
        <v>241813079.17817783</v>
      </c>
      <c r="G32" s="630">
        <f t="shared" si="6"/>
        <v>198857297.46677491</v>
      </c>
      <c r="H32" s="630">
        <f t="shared" si="6"/>
        <v>181759795.82450104</v>
      </c>
      <c r="I32" s="630">
        <f t="shared" si="9"/>
        <v>164544341.55198839</v>
      </c>
      <c r="J32" s="928">
        <f t="shared" si="9"/>
        <v>263047987.03558215</v>
      </c>
      <c r="K32" s="928">
        <f t="shared" si="9"/>
        <v>219484530.52358961</v>
      </c>
      <c r="L32" s="928">
        <f t="shared" si="9"/>
        <v>199884373.11869046</v>
      </c>
      <c r="M32" s="928">
        <f t="shared" si="9"/>
        <v>182404309.14476916</v>
      </c>
      <c r="N32" s="693">
        <f t="shared" si="9"/>
        <v>254250512.02978942</v>
      </c>
      <c r="O32" s="693">
        <f t="shared" si="9"/>
        <v>202664547.82887077</v>
      </c>
      <c r="P32" s="631">
        <f t="shared" si="9"/>
        <v>179945819.87530017</v>
      </c>
      <c r="Q32" s="631">
        <f t="shared" si="9"/>
        <v>160031354.80634752</v>
      </c>
      <c r="R32" s="631">
        <f t="shared" si="9"/>
        <v>255413036.02978942</v>
      </c>
      <c r="S32" s="631">
        <f t="shared" si="9"/>
        <v>205086054.82887077</v>
      </c>
      <c r="T32" s="631">
        <f t="shared" si="9"/>
        <v>182513879.87530017</v>
      </c>
      <c r="U32" s="632">
        <f t="shared" si="9"/>
        <v>164678579.80634752</v>
      </c>
      <c r="V32" s="354"/>
      <c r="W32" s="370"/>
      <c r="X32" s="370"/>
      <c r="Z32" s="725" t="s">
        <v>870</v>
      </c>
      <c r="AA32" s="859">
        <f>AA24</f>
        <v>3.27</v>
      </c>
      <c r="AB32" s="358" t="s">
        <v>680</v>
      </c>
      <c r="AC32" s="726">
        <f>AC24</f>
        <v>1</v>
      </c>
      <c r="AD32" s="456" t="s">
        <v>681</v>
      </c>
      <c r="AE32" s="791">
        <v>43812113.074992999</v>
      </c>
      <c r="AF32" s="688">
        <f>'3. CEF &amp; EEF'!E62*0.003412*8000</f>
        <v>91351076.862189457</v>
      </c>
      <c r="AG32" s="688">
        <f>'3. CEF &amp; EEF'!F62*0.003412*8000</f>
        <v>70304417.053462759</v>
      </c>
      <c r="AH32" s="688">
        <f>'3. CEF &amp; EEF'!G62*0.003412*8000</f>
        <v>58234984.431141399</v>
      </c>
      <c r="AI32" s="688">
        <f>'3. CEF &amp; EEF'!H62*0.003412*8000</f>
        <v>50534838.967152677</v>
      </c>
      <c r="AJ32" s="688">
        <f>'3. CEF &amp; EEF'!I62*0.003412*8000</f>
        <v>91351076.862189457</v>
      </c>
      <c r="AK32" s="688">
        <f>'3. CEF &amp; EEF'!J62*0.003412*8000</f>
        <v>70304417.053462759</v>
      </c>
      <c r="AL32" s="688">
        <f>'3. CEF &amp; EEF'!K62*0.003412*8000</f>
        <v>58234984.431141399</v>
      </c>
      <c r="AM32" s="688">
        <f>'3. CEF &amp; EEF'!L62*0.003412*8000</f>
        <v>50534838.967152677</v>
      </c>
      <c r="AN32" s="688">
        <f>'3. CEF &amp; EEF'!M62*0.003412*8000</f>
        <v>0</v>
      </c>
      <c r="AO32" s="688">
        <f>'3. CEF &amp; EEF'!N62*0.003412*8000</f>
        <v>0</v>
      </c>
      <c r="AP32" s="688">
        <f>'3. CEF &amp; EEF'!O62*0.003412*8000</f>
        <v>0</v>
      </c>
      <c r="AQ32" s="688">
        <f>'3. CEF &amp; EEF'!P62*0.003412*8000</f>
        <v>0</v>
      </c>
      <c r="AR32" s="688">
        <f>'3. CEF &amp; EEF'!Q62*0.003412*8000</f>
        <v>0</v>
      </c>
      <c r="AS32" s="688">
        <f>'3. CEF &amp; EEF'!R62*0.003412*8000</f>
        <v>0</v>
      </c>
      <c r="AT32" s="688">
        <f>'3. CEF &amp; EEF'!S62*0.003412*8000</f>
        <v>0</v>
      </c>
      <c r="AU32" s="688">
        <f>'3. CEF &amp; EEF'!T62*0.003412*8000</f>
        <v>0</v>
      </c>
      <c r="AY32" s="387"/>
      <c r="AZ32" s="386"/>
    </row>
    <row r="33" spans="2:55">
      <c r="B33" s="222" t="s">
        <v>643</v>
      </c>
      <c r="C33" s="358"/>
      <c r="D33" s="388">
        <v>0.41</v>
      </c>
      <c r="E33" s="630" t="e">
        <f t="shared" si="6"/>
        <v>#REF!</v>
      </c>
      <c r="F33" s="630">
        <f t="shared" si="6"/>
        <v>300434431.70622092</v>
      </c>
      <c r="G33" s="630">
        <f t="shared" si="6"/>
        <v>247065127.15569001</v>
      </c>
      <c r="H33" s="630">
        <f t="shared" si="6"/>
        <v>225822776.63044068</v>
      </c>
      <c r="I33" s="630">
        <f t="shared" si="9"/>
        <v>204433878.89792493</v>
      </c>
      <c r="J33" s="928">
        <f t="shared" si="9"/>
        <v>326817196.01390505</v>
      </c>
      <c r="K33" s="928">
        <f t="shared" si="9"/>
        <v>272692901.55961132</v>
      </c>
      <c r="L33" s="928">
        <f t="shared" si="9"/>
        <v>248341190.84443358</v>
      </c>
      <c r="M33" s="928">
        <f t="shared" si="9"/>
        <v>226623535.60410711</v>
      </c>
      <c r="N33" s="693">
        <f t="shared" si="9"/>
        <v>315886999.79458684</v>
      </c>
      <c r="O33" s="693">
        <f t="shared" si="9"/>
        <v>251795347.30253637</v>
      </c>
      <c r="P33" s="631">
        <f t="shared" si="9"/>
        <v>223569048.93597898</v>
      </c>
      <c r="Q33" s="631">
        <f t="shared" si="9"/>
        <v>198826834.75940144</v>
      </c>
      <c r="R33" s="631">
        <f t="shared" si="9"/>
        <v>317331347.79458684</v>
      </c>
      <c r="S33" s="631">
        <f t="shared" si="9"/>
        <v>254803886.30253637</v>
      </c>
      <c r="T33" s="631">
        <f t="shared" si="9"/>
        <v>226759668.93597898</v>
      </c>
      <c r="U33" s="632">
        <f t="shared" si="9"/>
        <v>204600659.75940144</v>
      </c>
      <c r="V33" s="354"/>
      <c r="W33" s="370"/>
      <c r="X33" s="370"/>
      <c r="Z33" s="725" t="s">
        <v>782</v>
      </c>
      <c r="AA33" s="859">
        <v>0.03</v>
      </c>
      <c r="AB33" s="358" t="s">
        <v>666</v>
      </c>
      <c r="AC33" s="726">
        <v>1</v>
      </c>
      <c r="AD33" s="456" t="s">
        <v>671</v>
      </c>
      <c r="AE33" s="791">
        <v>3396138120</v>
      </c>
      <c r="AF33" s="688">
        <f>'2-1. Aspen Utility'!D3*8000</f>
        <v>2215616000</v>
      </c>
      <c r="AG33" s="688">
        <f>'2-1. Aspen Utility'!E3*8000</f>
        <v>1554448800</v>
      </c>
      <c r="AH33" s="688">
        <f>'2-1. Aspen Utility'!F3*8000</f>
        <v>491309600</v>
      </c>
      <c r="AI33" s="688">
        <f>'2-1. Aspen Utility'!G3*8000</f>
        <v>1038874399.9999999</v>
      </c>
      <c r="AJ33" s="688">
        <f>'2-1. Aspen Utility'!H3*8000</f>
        <v>3507776880</v>
      </c>
      <c r="AK33" s="688">
        <f>'2-1. Aspen Utility'!I3*8000</f>
        <v>2719709199.9999995</v>
      </c>
      <c r="AL33" s="688">
        <f>'2-1. Aspen Utility'!J3*8000</f>
        <v>1446200319.9999998</v>
      </c>
      <c r="AM33" s="688">
        <f>'2-1. Aspen Utility'!K3*8000</f>
        <v>1891827040</v>
      </c>
      <c r="AN33" s="688">
        <f>'2-1. Aspen Utility'!L3*8000</f>
        <v>2215616000</v>
      </c>
      <c r="AO33" s="688">
        <f>'2-1. Aspen Utility'!M3*8000</f>
        <v>1554448800</v>
      </c>
      <c r="AP33" s="688">
        <f>'2-1. Aspen Utility'!N3*8000</f>
        <v>491309600</v>
      </c>
      <c r="AQ33" s="688">
        <f>'2-1. Aspen Utility'!O3*8000</f>
        <v>1038874399.9999999</v>
      </c>
      <c r="AR33" s="688">
        <f>'2-1. Aspen Utility'!P3*8000</f>
        <v>2239680164</v>
      </c>
      <c r="AS33" s="688">
        <f>'2-1. Aspen Utility'!Q3*8000</f>
        <v>1613851820.48</v>
      </c>
      <c r="AT33" s="688">
        <f>'2-1. Aspen Utility'!R3*8000</f>
        <v>554838587.19999993</v>
      </c>
      <c r="AU33" s="688">
        <f>'2-1. Aspen Utility'!S3*8000</f>
        <v>1136256569.5999999</v>
      </c>
      <c r="AY33" s="387"/>
      <c r="AZ33" s="386"/>
    </row>
    <row r="34" spans="2:55">
      <c r="B34" s="222" t="s">
        <v>644</v>
      </c>
      <c r="C34" s="358"/>
      <c r="D34" s="388">
        <v>0.04</v>
      </c>
      <c r="E34" s="630" t="e">
        <f t="shared" si="6"/>
        <v>#REF!</v>
      </c>
      <c r="F34" s="630">
        <f t="shared" si="6"/>
        <v>29310676.264021553</v>
      </c>
      <c r="G34" s="630">
        <f t="shared" si="6"/>
        <v>24103914.844457563</v>
      </c>
      <c r="H34" s="630">
        <f t="shared" si="6"/>
        <v>22031490.402969822</v>
      </c>
      <c r="I34" s="630">
        <f t="shared" si="9"/>
        <v>19944768.672968287</v>
      </c>
      <c r="J34" s="928">
        <f t="shared" si="9"/>
        <v>31884604.489161473</v>
      </c>
      <c r="K34" s="928">
        <f t="shared" si="9"/>
        <v>26604185.518010858</v>
      </c>
      <c r="L34" s="928">
        <f t="shared" si="9"/>
        <v>24228408.862871572</v>
      </c>
      <c r="M34" s="928">
        <f t="shared" si="9"/>
        <v>22109613.22966899</v>
      </c>
      <c r="N34" s="693">
        <f t="shared" si="9"/>
        <v>30818243.882398717</v>
      </c>
      <c r="O34" s="693">
        <f t="shared" si="9"/>
        <v>24565399.73683282</v>
      </c>
      <c r="P34" s="631">
        <f t="shared" si="9"/>
        <v>21811614.530339412</v>
      </c>
      <c r="Q34" s="631">
        <f t="shared" si="9"/>
        <v>19397739.976526972</v>
      </c>
      <c r="R34" s="631">
        <f t="shared" si="9"/>
        <v>30959155.882398717</v>
      </c>
      <c r="S34" s="631">
        <f t="shared" si="9"/>
        <v>24858915.73683282</v>
      </c>
      <c r="T34" s="631">
        <f t="shared" si="9"/>
        <v>22122894.530339412</v>
      </c>
      <c r="U34" s="632">
        <f t="shared" si="9"/>
        <v>19961039.976526972</v>
      </c>
      <c r="V34" s="354"/>
      <c r="W34" s="370"/>
      <c r="X34" s="370"/>
      <c r="Z34" s="725" t="s">
        <v>920</v>
      </c>
      <c r="AA34" s="859">
        <v>0.08</v>
      </c>
      <c r="AB34" s="358" t="s">
        <v>665</v>
      </c>
      <c r="AC34" s="726">
        <v>1</v>
      </c>
      <c r="AD34" s="456" t="s">
        <v>657</v>
      </c>
      <c r="AE34" s="791">
        <v>8388696888</v>
      </c>
      <c r="AF34" s="688">
        <f>'2-1. Aspen Utility'!D4*8000</f>
        <v>7759984000</v>
      </c>
      <c r="AG34" s="688">
        <f>'2-1. Aspen Utility'!E4*8000</f>
        <v>5644632000</v>
      </c>
      <c r="AH34" s="688">
        <f>'2-1. Aspen Utility'!F4*8000</f>
        <v>4089472000</v>
      </c>
      <c r="AI34" s="688">
        <f>'2-1. Aspen Utility'!G4*8000</f>
        <v>3095360000</v>
      </c>
      <c r="AJ34" s="688">
        <f>'2-1. Aspen Utility'!H4*8000</f>
        <v>8239690704</v>
      </c>
      <c r="AK34" s="688">
        <f>'2-1. Aspen Utility'!I4*8000</f>
        <v>6076187144</v>
      </c>
      <c r="AL34" s="688">
        <f>'2-1. Aspen Utility'!J4*8000</f>
        <v>4457218736.000001</v>
      </c>
      <c r="AM34" s="688">
        <f>'2-1. Aspen Utility'!K4*8000</f>
        <v>3434936688</v>
      </c>
      <c r="AN34" s="688">
        <f>'2-1. Aspen Utility'!L4*8000</f>
        <v>25425737424.657536</v>
      </c>
      <c r="AO34" s="688">
        <f>'2-1. Aspen Utility'!M4*8000</f>
        <v>19379791817.351597</v>
      </c>
      <c r="AP34" s="688">
        <f>'2-1. Aspen Utility'!N4*8000</f>
        <v>15347919488.584475</v>
      </c>
      <c r="AQ34" s="688">
        <f>'2-1. Aspen Utility'!O4*8000</f>
        <v>12863396529.680365</v>
      </c>
      <c r="AR34" s="688">
        <f>'2-1. Aspen Utility'!P4*8000</f>
        <v>25439955773.217537</v>
      </c>
      <c r="AS34" s="688">
        <f>'2-1. Aspen Utility'!Q4*8000</f>
        <v>19414574027.751598</v>
      </c>
      <c r="AT34" s="688">
        <f>'2-1. Aspen Utility'!R4*8000</f>
        <v>15385307187.784473</v>
      </c>
      <c r="AU34" s="688">
        <f>'2-1. Aspen Utility'!S4*8000</f>
        <v>12922436978.480364</v>
      </c>
      <c r="AY34" s="387"/>
      <c r="AZ34" s="386"/>
    </row>
    <row r="35" spans="2:55">
      <c r="B35" s="222" t="s">
        <v>645</v>
      </c>
      <c r="C35" s="358"/>
      <c r="D35" s="388">
        <v>0.22</v>
      </c>
      <c r="E35" s="630" t="e">
        <f t="shared" si="6"/>
        <v>#REF!</v>
      </c>
      <c r="F35" s="630">
        <f t="shared" si="6"/>
        <v>161208719.45211855</v>
      </c>
      <c r="G35" s="630">
        <f t="shared" si="6"/>
        <v>132571531.6445166</v>
      </c>
      <c r="H35" s="630">
        <f t="shared" si="6"/>
        <v>121173197.21633403</v>
      </c>
      <c r="I35" s="630">
        <f t="shared" si="9"/>
        <v>109696227.70132558</v>
      </c>
      <c r="J35" s="928">
        <f t="shared" si="9"/>
        <v>175365324.69038811</v>
      </c>
      <c r="K35" s="928">
        <f t="shared" si="9"/>
        <v>146323020.34905973</v>
      </c>
      <c r="L35" s="928">
        <f t="shared" si="9"/>
        <v>133256248.74579364</v>
      </c>
      <c r="M35" s="928">
        <f t="shared" si="9"/>
        <v>121602872.76317944</v>
      </c>
      <c r="N35" s="693">
        <f t="shared" si="9"/>
        <v>169500341.35319293</v>
      </c>
      <c r="O35" s="693">
        <f t="shared" si="9"/>
        <v>135109698.55258051</v>
      </c>
      <c r="P35" s="631">
        <f t="shared" si="9"/>
        <v>119963879.91686676</v>
      </c>
      <c r="Q35" s="631">
        <f t="shared" si="9"/>
        <v>106687569.87089834</v>
      </c>
      <c r="R35" s="631">
        <f t="shared" si="9"/>
        <v>170275357.35319293</v>
      </c>
      <c r="S35" s="631">
        <f t="shared" si="9"/>
        <v>136724036.55258051</v>
      </c>
      <c r="T35" s="631">
        <f t="shared" si="9"/>
        <v>121675919.91686676</v>
      </c>
      <c r="U35" s="632">
        <f t="shared" si="9"/>
        <v>109785719.87089834</v>
      </c>
      <c r="V35" s="370"/>
      <c r="W35" s="370"/>
      <c r="X35" s="370"/>
      <c r="Z35" s="725" t="s">
        <v>921</v>
      </c>
      <c r="AA35" s="859">
        <v>6.3E-2</v>
      </c>
      <c r="AB35" s="358" t="s">
        <v>665</v>
      </c>
      <c r="AC35" s="726">
        <v>1</v>
      </c>
      <c r="AD35" s="456" t="s">
        <v>657</v>
      </c>
      <c r="AE35" s="791">
        <v>0</v>
      </c>
      <c r="AF35" s="688">
        <f>'2-1. Aspen Utility'!D5*8760</f>
        <v>0</v>
      </c>
      <c r="AG35" s="688">
        <f>'2-1. Aspen Utility'!E5*8760</f>
        <v>0</v>
      </c>
      <c r="AH35" s="688">
        <f>'2-1. Aspen Utility'!F5*8760</f>
        <v>0</v>
      </c>
      <c r="AI35" s="688">
        <f>'2-1. Aspen Utility'!G5*8760</f>
        <v>0</v>
      </c>
      <c r="AJ35" s="688">
        <f>'2-1. Aspen Utility'!H5*8760</f>
        <v>0</v>
      </c>
      <c r="AK35" s="688">
        <f>'2-1. Aspen Utility'!I5*8760</f>
        <v>0</v>
      </c>
      <c r="AL35" s="688">
        <f>'2-1. Aspen Utility'!J5*8760</f>
        <v>0</v>
      </c>
      <c r="AM35" s="688">
        <f>'2-1. Aspen Utility'!K5*8760</f>
        <v>0</v>
      </c>
      <c r="AN35" s="688">
        <f>'2-1. Aspen Utility'!L5*8760</f>
        <v>0</v>
      </c>
      <c r="AO35" s="688">
        <f>'2-1. Aspen Utility'!M5*8760</f>
        <v>0</v>
      </c>
      <c r="AP35" s="688">
        <f>'2-1. Aspen Utility'!N5*8760</f>
        <v>0</v>
      </c>
      <c r="AQ35" s="688">
        <f>'2-1. Aspen Utility'!O5*8760</f>
        <v>0</v>
      </c>
      <c r="AR35" s="688">
        <f>'2-1. Aspen Utility'!P5*8760</f>
        <v>0</v>
      </c>
      <c r="AS35" s="688">
        <f>'2-1. Aspen Utility'!Q5*8760</f>
        <v>0</v>
      </c>
      <c r="AT35" s="688">
        <f>'2-1. Aspen Utility'!R5*8760</f>
        <v>0</v>
      </c>
      <c r="AU35" s="688">
        <f>'2-1. Aspen Utility'!S5*8760</f>
        <v>0</v>
      </c>
      <c r="AY35" s="387"/>
      <c r="AZ35" s="386"/>
    </row>
    <row r="36" spans="2:55">
      <c r="B36" s="222" t="s">
        <v>646</v>
      </c>
      <c r="C36" s="358"/>
      <c r="D36" s="388">
        <v>0.44</v>
      </c>
      <c r="E36" s="630" t="e">
        <f t="shared" si="6"/>
        <v>#REF!</v>
      </c>
      <c r="F36" s="630">
        <f t="shared" si="6"/>
        <v>322417438.90423709</v>
      </c>
      <c r="G36" s="630">
        <f t="shared" si="6"/>
        <v>265143063.2890332</v>
      </c>
      <c r="H36" s="630">
        <f t="shared" si="6"/>
        <v>242346394.43266806</v>
      </c>
      <c r="I36" s="630">
        <f t="shared" si="9"/>
        <v>219392455.40265116</v>
      </c>
      <c r="J36" s="928">
        <f t="shared" si="9"/>
        <v>350730649.38077623</v>
      </c>
      <c r="K36" s="928">
        <f t="shared" si="9"/>
        <v>292646040.69811946</v>
      </c>
      <c r="L36" s="928">
        <f t="shared" si="9"/>
        <v>266512497.49158728</v>
      </c>
      <c r="M36" s="928">
        <f t="shared" si="9"/>
        <v>243205745.52635887</v>
      </c>
      <c r="N36" s="693">
        <f t="shared" si="9"/>
        <v>339000682.70638585</v>
      </c>
      <c r="O36" s="693">
        <f t="shared" si="9"/>
        <v>270219397.10516101</v>
      </c>
      <c r="P36" s="631">
        <f t="shared" si="9"/>
        <v>239927759.83373353</v>
      </c>
      <c r="Q36" s="631">
        <f t="shared" si="9"/>
        <v>213375139.74179667</v>
      </c>
      <c r="R36" s="631">
        <f t="shared" si="9"/>
        <v>340550714.70638585</v>
      </c>
      <c r="S36" s="631">
        <f t="shared" si="9"/>
        <v>273448073.10516101</v>
      </c>
      <c r="T36" s="631">
        <f t="shared" si="9"/>
        <v>243351839.83373353</v>
      </c>
      <c r="U36" s="632">
        <f t="shared" si="9"/>
        <v>219571439.74179667</v>
      </c>
      <c r="V36" s="370"/>
      <c r="W36" s="370"/>
      <c r="X36" s="370"/>
      <c r="Z36" s="728" t="s">
        <v>1068</v>
      </c>
      <c r="AA36" s="859">
        <v>0.05</v>
      </c>
      <c r="AB36" s="358" t="s">
        <v>665</v>
      </c>
      <c r="AC36" s="726">
        <v>1</v>
      </c>
      <c r="AD36" s="456" t="s">
        <v>657</v>
      </c>
      <c r="AE36" s="791"/>
      <c r="AF36" s="688">
        <f>'2-1. Aspen Utility'!D6*8760</f>
        <v>0</v>
      </c>
      <c r="AG36" s="688">
        <f>'2-1. Aspen Utility'!E6*8760</f>
        <v>0</v>
      </c>
      <c r="AH36" s="688">
        <f>'2-1. Aspen Utility'!F6*8760</f>
        <v>0</v>
      </c>
      <c r="AI36" s="688">
        <f>'2-1. Aspen Utility'!G6*8760</f>
        <v>0</v>
      </c>
      <c r="AJ36" s="688">
        <f>'2-1. Aspen Utility'!H6*8760</f>
        <v>0</v>
      </c>
      <c r="AK36" s="688">
        <f>'2-1. Aspen Utility'!I6*8760</f>
        <v>0</v>
      </c>
      <c r="AL36" s="688">
        <f>'2-1. Aspen Utility'!J6*8760</f>
        <v>0</v>
      </c>
      <c r="AM36" s="688">
        <f>'2-1. Aspen Utility'!K6*8760</f>
        <v>0</v>
      </c>
      <c r="AN36" s="688">
        <f>'2-1. Aspen Utility'!L6*8760</f>
        <v>0</v>
      </c>
      <c r="AO36" s="688">
        <f>'2-1. Aspen Utility'!M6*8760</f>
        <v>0</v>
      </c>
      <c r="AP36" s="688">
        <f>'2-1. Aspen Utility'!N6*8760</f>
        <v>0</v>
      </c>
      <c r="AQ36" s="688">
        <f>'2-1. Aspen Utility'!O6*8760</f>
        <v>0</v>
      </c>
      <c r="AR36" s="688">
        <f>'2-1. Aspen Utility'!P6*8760</f>
        <v>0</v>
      </c>
      <c r="AS36" s="688">
        <f>'2-1. Aspen Utility'!Q6*8760</f>
        <v>0</v>
      </c>
      <c r="AT36" s="688">
        <f>'2-1. Aspen Utility'!R6*8760</f>
        <v>0</v>
      </c>
      <c r="AU36" s="688">
        <f>'2-1. Aspen Utility'!S6*8760</f>
        <v>0</v>
      </c>
      <c r="AY36" s="387"/>
      <c r="AZ36" s="386"/>
    </row>
    <row r="37" spans="2:55">
      <c r="B37" s="362" t="s">
        <v>743</v>
      </c>
      <c r="C37" s="228"/>
      <c r="D37" s="228"/>
      <c r="E37" s="623" t="e">
        <f>E21*$D$15</f>
        <v>#REF!</v>
      </c>
      <c r="F37" s="623">
        <f>F21*$D$15</f>
        <v>328052610.06566292</v>
      </c>
      <c r="G37" s="623">
        <f>G21*$D$15</f>
        <v>269777200.16753572</v>
      </c>
      <c r="H37" s="623">
        <f>H21*$D$15</f>
        <v>246582094.02020839</v>
      </c>
      <c r="I37" s="623">
        <f t="shared" ref="I37:R37" si="10">I21*$D$15</f>
        <v>223226968.95105332</v>
      </c>
      <c r="J37" s="926">
        <f t="shared" si="10"/>
        <v>356860675.24890459</v>
      </c>
      <c r="K37" s="926">
        <f>K21*$D$15</f>
        <v>297760871.13239163</v>
      </c>
      <c r="L37" s="926">
        <f>L21*$D$15</f>
        <v>271170569.16763651</v>
      </c>
      <c r="M37" s="926">
        <f>M21*$D$15</f>
        <v>247456464.74347374</v>
      </c>
      <c r="N37" s="691">
        <f t="shared" si="10"/>
        <v>344925693.70263684</v>
      </c>
      <c r="O37" s="691">
        <f t="shared" ref="O37" si="11">O21*$D$15</f>
        <v>274942257.50315934</v>
      </c>
      <c r="P37" s="624">
        <f t="shared" si="10"/>
        <v>244121186.83208558</v>
      </c>
      <c r="Q37" s="624">
        <f t="shared" si="10"/>
        <v>217104483.40920079</v>
      </c>
      <c r="R37" s="624">
        <f t="shared" si="10"/>
        <v>346502816.96561372</v>
      </c>
      <c r="S37" s="624">
        <f>S21*$D$15</f>
        <v>278227363.89335978</v>
      </c>
      <c r="T37" s="624">
        <f t="shared" ref="T37:U37" si="12">T21*$D$15</f>
        <v>247605112.46864912</v>
      </c>
      <c r="U37" s="625">
        <f t="shared" si="12"/>
        <v>223409081.55580914</v>
      </c>
      <c r="V37" s="370"/>
      <c r="W37" s="370"/>
      <c r="X37" s="370"/>
      <c r="Z37" s="725" t="s">
        <v>924</v>
      </c>
      <c r="AA37" s="859">
        <v>0.03</v>
      </c>
      <c r="AB37" s="358" t="s">
        <v>665</v>
      </c>
      <c r="AC37" s="726">
        <v>1</v>
      </c>
      <c r="AD37" s="456" t="s">
        <v>657</v>
      </c>
      <c r="AE37" s="791">
        <v>0</v>
      </c>
      <c r="AF37" s="688">
        <f>'2-1. Aspen Utility'!D7*8760</f>
        <v>0</v>
      </c>
      <c r="AG37" s="688">
        <f>'2-1. Aspen Utility'!E7*8760</f>
        <v>0</v>
      </c>
      <c r="AH37" s="688">
        <f>'2-1. Aspen Utility'!F7*8760</f>
        <v>0</v>
      </c>
      <c r="AI37" s="688">
        <f>'2-1. Aspen Utility'!G7*8760</f>
        <v>0</v>
      </c>
      <c r="AJ37" s="688">
        <f>'2-1. Aspen Utility'!H7*8760</f>
        <v>0</v>
      </c>
      <c r="AK37" s="688">
        <f>'2-1. Aspen Utility'!I7*8760</f>
        <v>0</v>
      </c>
      <c r="AL37" s="688">
        <f>'2-1. Aspen Utility'!J7*8760</f>
        <v>0</v>
      </c>
      <c r="AM37" s="688">
        <f>'2-1. Aspen Utility'!K7*8760</f>
        <v>0</v>
      </c>
      <c r="AN37" s="688">
        <f>'2-1. Aspen Utility'!L7*8760</f>
        <v>0</v>
      </c>
      <c r="AO37" s="688">
        <f>'2-1. Aspen Utility'!M7*8760</f>
        <v>0</v>
      </c>
      <c r="AP37" s="688">
        <f>'2-1. Aspen Utility'!N7*8760</f>
        <v>0</v>
      </c>
      <c r="AQ37" s="688">
        <f>'2-1. Aspen Utility'!O7*8760</f>
        <v>0</v>
      </c>
      <c r="AR37" s="688">
        <f>'2-1. Aspen Utility'!P7*8760</f>
        <v>0</v>
      </c>
      <c r="AS37" s="688">
        <f>'2-1. Aspen Utility'!Q7*8760</f>
        <v>0</v>
      </c>
      <c r="AT37" s="688">
        <f>'2-1. Aspen Utility'!R7*8760</f>
        <v>0</v>
      </c>
      <c r="AU37" s="688">
        <f>'2-1. Aspen Utility'!S7*8760</f>
        <v>0</v>
      </c>
      <c r="AY37" s="387"/>
      <c r="AZ37" s="386"/>
    </row>
    <row r="38" spans="2:55">
      <c r="B38" s="362"/>
      <c r="C38" s="228"/>
      <c r="D38" s="228"/>
      <c r="E38" s="623"/>
      <c r="F38" s="623"/>
      <c r="G38" s="623"/>
      <c r="H38" s="623"/>
      <c r="I38" s="623"/>
      <c r="J38" s="926"/>
      <c r="K38" s="926"/>
      <c r="L38" s="926"/>
      <c r="M38" s="926"/>
      <c r="N38" s="691"/>
      <c r="O38" s="691"/>
      <c r="P38" s="624"/>
      <c r="Q38" s="624"/>
      <c r="R38" s="624"/>
      <c r="S38" s="624"/>
      <c r="T38" s="869"/>
      <c r="U38" s="870"/>
      <c r="V38" s="370"/>
      <c r="W38" s="370"/>
      <c r="X38" s="370"/>
      <c r="Z38" s="725" t="s">
        <v>186</v>
      </c>
      <c r="AA38" s="859">
        <f>14.5</f>
        <v>14.5</v>
      </c>
      <c r="AB38" s="358" t="s">
        <v>666</v>
      </c>
      <c r="AC38" s="726">
        <v>1</v>
      </c>
      <c r="AD38" s="456" t="s">
        <v>671</v>
      </c>
      <c r="AE38" s="791">
        <v>39471.946800000005</v>
      </c>
      <c r="AF38" s="688">
        <f>'2-1. Aspen Utility'!D8*8760</f>
        <v>0</v>
      </c>
      <c r="AG38" s="688">
        <f>'2-1. Aspen Utility'!E8*8760</f>
        <v>0</v>
      </c>
      <c r="AH38" s="688">
        <f>'2-1. Aspen Utility'!F8*8760</f>
        <v>0</v>
      </c>
      <c r="AI38" s="688">
        <f>'2-1. Aspen Utility'!G8*8760</f>
        <v>0</v>
      </c>
      <c r="AJ38" s="688">
        <f>'2-1. Aspen Utility'!H8*8760</f>
        <v>0</v>
      </c>
      <c r="AK38" s="688">
        <f>'2-1. Aspen Utility'!I8*8760</f>
        <v>0</v>
      </c>
      <c r="AL38" s="688">
        <f>'2-1. Aspen Utility'!J8*8760</f>
        <v>0</v>
      </c>
      <c r="AM38" s="688">
        <f>'2-1. Aspen Utility'!K8*8760</f>
        <v>0</v>
      </c>
      <c r="AN38" s="688">
        <f>'2-1. Aspen Utility'!L8*8760</f>
        <v>0</v>
      </c>
      <c r="AO38" s="688">
        <f>'2-1. Aspen Utility'!M8*8760</f>
        <v>0</v>
      </c>
      <c r="AP38" s="688">
        <f>'2-1. Aspen Utility'!N8*8760</f>
        <v>0</v>
      </c>
      <c r="AQ38" s="688">
        <f>'2-1. Aspen Utility'!O8*8760</f>
        <v>0</v>
      </c>
      <c r="AR38" s="688">
        <f>'2-1. Aspen Utility'!P8*8760</f>
        <v>0</v>
      </c>
      <c r="AS38" s="688">
        <f>'2-1. Aspen Utility'!Q8*8760</f>
        <v>0</v>
      </c>
      <c r="AT38" s="688">
        <f>'2-1. Aspen Utility'!R8*8760</f>
        <v>0</v>
      </c>
      <c r="AU38" s="688">
        <f>'2-1. Aspen Utility'!S8*8760</f>
        <v>0</v>
      </c>
      <c r="AY38" s="387"/>
      <c r="AZ38" s="386"/>
    </row>
    <row r="39" spans="2:55">
      <c r="B39" s="223" t="s">
        <v>884</v>
      </c>
      <c r="C39" s="228"/>
      <c r="D39" s="228"/>
      <c r="E39" s="623" t="e">
        <f t="shared" ref="E39" si="13">E40+E63</f>
        <v>#REF!</v>
      </c>
      <c r="F39" s="623">
        <f>F40+F63+F69</f>
        <v>1977050097.0418541</v>
      </c>
      <c r="G39" s="623">
        <f t="shared" ref="G39:U39" si="14">G40+G63+G69</f>
        <v>1548615385.8235421</v>
      </c>
      <c r="H39" s="623">
        <f t="shared" si="14"/>
        <v>1310764558.2831929</v>
      </c>
      <c r="I39" s="623">
        <f t="shared" si="14"/>
        <v>1182140716.7920322</v>
      </c>
      <c r="J39" s="929">
        <f t="shared" si="14"/>
        <v>2135572221.3111267</v>
      </c>
      <c r="K39" s="929">
        <f t="shared" si="14"/>
        <v>1686881168.9858868</v>
      </c>
      <c r="L39" s="929">
        <f t="shared" si="14"/>
        <v>1426942595.5415874</v>
      </c>
      <c r="M39" s="929">
        <f t="shared" si="14"/>
        <v>1285337784.4380081</v>
      </c>
      <c r="N39" s="623">
        <f t="shared" si="14"/>
        <v>2704755954.6301966</v>
      </c>
      <c r="O39" s="623">
        <f t="shared" si="14"/>
        <v>2115622585.3286099</v>
      </c>
      <c r="P39" s="623">
        <f t="shared" si="14"/>
        <v>1765318488.9317176</v>
      </c>
      <c r="Q39" s="623">
        <f t="shared" si="14"/>
        <v>1577135065.6151381</v>
      </c>
      <c r="R39" s="623">
        <f t="shared" si="14"/>
        <v>2708929679.6291852</v>
      </c>
      <c r="S39" s="623">
        <f t="shared" si="14"/>
        <v>2122989928.7258739</v>
      </c>
      <c r="T39" s="623">
        <f t="shared" si="14"/>
        <v>1774384926.8482966</v>
      </c>
      <c r="U39" s="623">
        <f t="shared" si="14"/>
        <v>1596955469.9429541</v>
      </c>
      <c r="Z39" s="725" t="s">
        <v>188</v>
      </c>
      <c r="AA39" s="859">
        <v>10.5</v>
      </c>
      <c r="AB39" s="358" t="s">
        <v>666</v>
      </c>
      <c r="AC39" s="726">
        <v>1</v>
      </c>
      <c r="AD39" s="456" t="s">
        <v>671</v>
      </c>
      <c r="AE39" s="791">
        <v>1147958.58</v>
      </c>
      <c r="AF39" s="688">
        <f>'2-1. Aspen Utility'!D9*8760</f>
        <v>0</v>
      </c>
      <c r="AG39" s="688">
        <f>'2-1. Aspen Utility'!E9*8760</f>
        <v>0</v>
      </c>
      <c r="AH39" s="688">
        <f>'2-1. Aspen Utility'!F9*8760</f>
        <v>0</v>
      </c>
      <c r="AI39" s="688">
        <f>'2-1. Aspen Utility'!G9*8760</f>
        <v>0</v>
      </c>
      <c r="AJ39" s="688">
        <f>'2-1. Aspen Utility'!H9*8760</f>
        <v>6894919.1584128262</v>
      </c>
      <c r="AK39" s="688">
        <f>'2-1. Aspen Utility'!I9*8760</f>
        <v>5687326.2511663605</v>
      </c>
      <c r="AL39" s="688">
        <f>'2-1. Aspen Utility'!J9*8760</f>
        <v>4638741.1482759397</v>
      </c>
      <c r="AM39" s="688">
        <f>'2-1. Aspen Utility'!K9*8760</f>
        <v>3909743.0797948623</v>
      </c>
      <c r="AN39" s="688">
        <f>'2-1. Aspen Utility'!L9*8760</f>
        <v>0</v>
      </c>
      <c r="AO39" s="688">
        <f>'2-1. Aspen Utility'!M9*8760</f>
        <v>0</v>
      </c>
      <c r="AP39" s="688">
        <f>'2-1. Aspen Utility'!N9*8760</f>
        <v>0</v>
      </c>
      <c r="AQ39" s="688">
        <f>'2-1. Aspen Utility'!O9*8760</f>
        <v>0</v>
      </c>
      <c r="AR39" s="688">
        <f>'2-1. Aspen Utility'!P9*8760</f>
        <v>195333.86508122331</v>
      </c>
      <c r="AS39" s="688">
        <f>'2-1. Aspen Utility'!Q9*8760</f>
        <v>436942.91892530688</v>
      </c>
      <c r="AT39" s="688">
        <f>'2-1. Aspen Utility'!R9*8760</f>
        <v>444950.6402923296</v>
      </c>
      <c r="AU39" s="688">
        <f>'2-1. Aspen Utility'!S9*8760</f>
        <v>1102471.3450743281</v>
      </c>
      <c r="BB39" s="387"/>
      <c r="BC39" s="386"/>
    </row>
    <row r="40" spans="2:55">
      <c r="B40" s="344" t="s">
        <v>869</v>
      </c>
      <c r="C40" s="436"/>
      <c r="D40" s="436"/>
      <c r="E40" s="626">
        <f t="shared" ref="E40:N40" si="15">E41+E49</f>
        <v>1650234846.0772438</v>
      </c>
      <c r="F40" s="626">
        <f t="shared" si="15"/>
        <v>1885385334.2090917</v>
      </c>
      <c r="G40" s="626">
        <f t="shared" si="15"/>
        <v>1473233991.7657595</v>
      </c>
      <c r="H40" s="626">
        <f t="shared" si="15"/>
        <v>1241864362.1754889</v>
      </c>
      <c r="I40" s="626">
        <f t="shared" si="15"/>
        <v>1119766431.2691126</v>
      </c>
      <c r="J40" s="927">
        <f t="shared" si="15"/>
        <v>2035857882.3382323</v>
      </c>
      <c r="K40" s="927">
        <f t="shared" si="15"/>
        <v>1603680551.780725</v>
      </c>
      <c r="L40" s="927">
        <f t="shared" si="15"/>
        <v>1351171865.0328398</v>
      </c>
      <c r="M40" s="927">
        <f t="shared" si="15"/>
        <v>1216193270.8564696</v>
      </c>
      <c r="N40" s="692">
        <f t="shared" si="15"/>
        <v>2689863706.2112083</v>
      </c>
      <c r="O40" s="692">
        <f t="shared" ref="O40" si="16">O41+O49</f>
        <v>2103522227.821835</v>
      </c>
      <c r="P40" s="627">
        <f>P41+P49</f>
        <v>1754447693.9251184</v>
      </c>
      <c r="Q40" s="627">
        <f>Q41+Q49</f>
        <v>1567342064.6280689</v>
      </c>
      <c r="R40" s="627">
        <f>R41+R49</f>
        <v>2693974511.0800252</v>
      </c>
      <c r="S40" s="627">
        <f>S41+S49</f>
        <v>2113135678.5168052</v>
      </c>
      <c r="T40" s="627">
        <f t="shared" ref="T40:U40" si="17">T41+T49</f>
        <v>1764530676.6392279</v>
      </c>
      <c r="U40" s="628">
        <f t="shared" si="17"/>
        <v>1587101219.7338853</v>
      </c>
      <c r="Z40" s="725" t="s">
        <v>596</v>
      </c>
      <c r="AA40" s="859">
        <v>0.15</v>
      </c>
      <c r="AB40" s="358" t="s">
        <v>665</v>
      </c>
      <c r="AC40" s="726">
        <v>1</v>
      </c>
      <c r="AD40" s="456" t="s">
        <v>657</v>
      </c>
      <c r="AE40" s="791">
        <v>2693074538.4333334</v>
      </c>
      <c r="AF40" s="688">
        <f>'2-1. Aspen Utility'!D10*8000</f>
        <v>1908463600</v>
      </c>
      <c r="AG40" s="688">
        <f>'2-1. Aspen Utility'!E10*8000</f>
        <v>1356258280</v>
      </c>
      <c r="AH40" s="688">
        <f>'2-1. Aspen Utility'!F10*8000</f>
        <v>1392054400</v>
      </c>
      <c r="AI40" s="688">
        <f>'2-1. Aspen Utility'!G10*8000</f>
        <v>1360249356.5599999</v>
      </c>
      <c r="AJ40" s="688">
        <f>'2-1. Aspen Utility'!H10*8000</f>
        <v>1908463600</v>
      </c>
      <c r="AK40" s="688">
        <f>'2-1. Aspen Utility'!I10*8000</f>
        <v>1356258280</v>
      </c>
      <c r="AL40" s="688">
        <f>'2-1. Aspen Utility'!J10*8000</f>
        <v>1392054400</v>
      </c>
      <c r="AM40" s="688">
        <f>'2-1. Aspen Utility'!K10*8000</f>
        <v>1360249356.5599999</v>
      </c>
      <c r="AN40" s="688">
        <f>'2-1. Aspen Utility'!L10*8000</f>
        <v>1908463600</v>
      </c>
      <c r="AO40" s="688">
        <f>'2-1. Aspen Utility'!M10*8000</f>
        <v>1356258280</v>
      </c>
      <c r="AP40" s="688">
        <f>'2-1. Aspen Utility'!N10*8000</f>
        <v>1392054400</v>
      </c>
      <c r="AQ40" s="688">
        <f>'2-1. Aspen Utility'!O10*8000</f>
        <v>1360249356.5599999</v>
      </c>
      <c r="AR40" s="688">
        <f>'2-1. Aspen Utility'!P10*8000</f>
        <v>1908463600</v>
      </c>
      <c r="AS40" s="688">
        <f>'2-1. Aspen Utility'!Q10*8000</f>
        <v>1356258280</v>
      </c>
      <c r="AT40" s="688">
        <f>'2-1. Aspen Utility'!R10*8000</f>
        <v>1392054400</v>
      </c>
      <c r="AU40" s="688">
        <f>'2-1. Aspen Utility'!S10*8000</f>
        <v>1360249356.5599999</v>
      </c>
      <c r="BB40" s="387"/>
      <c r="BC40" s="386"/>
    </row>
    <row r="41" spans="2:55">
      <c r="B41" s="344" t="s">
        <v>1103</v>
      </c>
      <c r="C41" s="436"/>
      <c r="D41" s="436"/>
      <c r="E41" s="626">
        <f>SUM(E42:E47)</f>
        <v>317401740.7637167</v>
      </c>
      <c r="F41" s="626">
        <f>SUM(F42:F48)</f>
        <v>613130158.99484348</v>
      </c>
      <c r="G41" s="626">
        <f t="shared" ref="G41:M41" si="18">SUM(G42:G48)</f>
        <v>541695383.93094552</v>
      </c>
      <c r="H41" s="626">
        <f t="shared" si="18"/>
        <v>500730346.6110127</v>
      </c>
      <c r="I41" s="626">
        <f t="shared" si="18"/>
        <v>471684643.95660031</v>
      </c>
      <c r="J41" s="626">
        <f t="shared" si="18"/>
        <v>613595585.48477697</v>
      </c>
      <c r="K41" s="626">
        <f t="shared" si="18"/>
        <v>542193600.52400291</v>
      </c>
      <c r="L41" s="626">
        <f t="shared" si="18"/>
        <v>501553577.58364278</v>
      </c>
      <c r="M41" s="626">
        <f t="shared" si="18"/>
        <v>472453227.35129076</v>
      </c>
      <c r="N41" s="692">
        <f>SUM(N42:N47)</f>
        <v>303066278.36371672</v>
      </c>
      <c r="O41" s="692">
        <f>SUM(O42:O47)</f>
        <v>303066278.36371672</v>
      </c>
      <c r="P41" s="627">
        <f t="shared" ref="P41:S41" si="19">SUM(P42:P47)</f>
        <v>303066278.36371672</v>
      </c>
      <c r="Q41" s="627">
        <f t="shared" si="19"/>
        <v>303066278.36371672</v>
      </c>
      <c r="R41" s="627">
        <f t="shared" si="19"/>
        <v>303066278.36371672</v>
      </c>
      <c r="S41" s="627">
        <f t="shared" si="19"/>
        <v>303066278.36371672</v>
      </c>
      <c r="T41" s="627">
        <f t="shared" ref="T41:U41" si="20">SUM(T42:T47)</f>
        <v>303066278.36371672</v>
      </c>
      <c r="U41" s="628">
        <f t="shared" si="20"/>
        <v>303066278.36371672</v>
      </c>
      <c r="Z41" s="725" t="s">
        <v>926</v>
      </c>
      <c r="AA41" s="859">
        <v>6.11</v>
      </c>
      <c r="AB41" s="358" t="s">
        <v>664</v>
      </c>
      <c r="AC41" s="726">
        <v>1</v>
      </c>
      <c r="AD41" s="456" t="s">
        <v>677</v>
      </c>
      <c r="AE41" s="791">
        <f>16754/0.01*4*0.1/8000</f>
        <v>83.77</v>
      </c>
      <c r="AF41" s="688">
        <v>67.737297657591</v>
      </c>
      <c r="AG41" s="688">
        <v>65.150571311302741</v>
      </c>
      <c r="AH41" s="688">
        <v>66.853460524927854</v>
      </c>
      <c r="AI41" s="688">
        <v>70.115535693281743</v>
      </c>
      <c r="AJ41" s="688">
        <v>67.737297657591</v>
      </c>
      <c r="AK41" s="688">
        <v>65.150571311302741</v>
      </c>
      <c r="AL41" s="688">
        <v>66.853460524927854</v>
      </c>
      <c r="AM41" s="688">
        <v>70.115535693281743</v>
      </c>
      <c r="AN41" s="688">
        <v>67.737297657591</v>
      </c>
      <c r="AO41" s="688">
        <v>65.150571311302741</v>
      </c>
      <c r="AP41" s="688">
        <v>66.853460524927854</v>
      </c>
      <c r="AQ41" s="688">
        <v>70.115535693281743</v>
      </c>
      <c r="AR41" s="688">
        <v>67.737297657591</v>
      </c>
      <c r="AS41" s="688">
        <v>65.150571311302741</v>
      </c>
      <c r="AT41" s="688">
        <v>66.853460524927854</v>
      </c>
      <c r="AU41" s="688">
        <v>70.115535693281743</v>
      </c>
      <c r="BB41" s="387"/>
      <c r="BC41" s="386"/>
    </row>
    <row r="42" spans="2:55">
      <c r="B42" s="222" t="s">
        <v>880</v>
      </c>
      <c r="C42" s="358"/>
      <c r="D42" s="358"/>
      <c r="E42" s="630">
        <f t="shared" ref="E42:N47" si="21">AE24*$AA24*$AC24</f>
        <v>303066278.36371672</v>
      </c>
      <c r="F42" s="630">
        <f t="shared" si="21"/>
        <v>303066278.36371672</v>
      </c>
      <c r="G42" s="630">
        <f t="shared" si="21"/>
        <v>303066278.36371672</v>
      </c>
      <c r="H42" s="630">
        <f t="shared" si="21"/>
        <v>303066278.36371672</v>
      </c>
      <c r="I42" s="630">
        <f t="shared" si="21"/>
        <v>303066278.36371672</v>
      </c>
      <c r="J42" s="928">
        <f t="shared" si="21"/>
        <v>303066278.36371672</v>
      </c>
      <c r="K42" s="928">
        <f t="shared" si="21"/>
        <v>303066278.36371672</v>
      </c>
      <c r="L42" s="928">
        <f t="shared" si="21"/>
        <v>303066278.36371672</v>
      </c>
      <c r="M42" s="928">
        <f t="shared" si="21"/>
        <v>303066278.36371672</v>
      </c>
      <c r="N42" s="693">
        <f t="shared" si="21"/>
        <v>303066278.36371672</v>
      </c>
      <c r="O42" s="693">
        <f t="shared" ref="O42:U47" si="22">AO24*$AA24*$AC24</f>
        <v>303066278.36371672</v>
      </c>
      <c r="P42" s="631">
        <f t="shared" si="22"/>
        <v>303066278.36371672</v>
      </c>
      <c r="Q42" s="631">
        <f t="shared" si="22"/>
        <v>303066278.36371672</v>
      </c>
      <c r="R42" s="631">
        <f t="shared" si="22"/>
        <v>303066278.36371672</v>
      </c>
      <c r="S42" s="631">
        <f t="shared" si="22"/>
        <v>303066278.36371672</v>
      </c>
      <c r="T42" s="631">
        <f t="shared" si="22"/>
        <v>303066278.36371672</v>
      </c>
      <c r="U42" s="632">
        <f t="shared" si="22"/>
        <v>303066278.36371672</v>
      </c>
      <c r="Z42" s="725" t="s">
        <v>927</v>
      </c>
      <c r="AA42" s="859">
        <v>50</v>
      </c>
      <c r="AB42" s="358" t="s">
        <v>664</v>
      </c>
      <c r="AC42" s="726">
        <v>1</v>
      </c>
      <c r="AD42" s="456" t="s">
        <v>677</v>
      </c>
      <c r="AE42" s="791">
        <v>0</v>
      </c>
      <c r="AF42" s="688">
        <f>'2-1. Aspen Utility'!D12*8760</f>
        <v>0</v>
      </c>
      <c r="AG42" s="688">
        <f>'2-1. Aspen Utility'!E12*8760</f>
        <v>0</v>
      </c>
      <c r="AH42" s="688">
        <f>'2-1. Aspen Utility'!F12*8760</f>
        <v>0</v>
      </c>
      <c r="AI42" s="688">
        <f>'2-1. Aspen Utility'!G12*8760</f>
        <v>0</v>
      </c>
      <c r="AJ42" s="688">
        <f>'2-1. Aspen Utility'!H12*8760</f>
        <v>0</v>
      </c>
      <c r="AK42" s="688">
        <f>'2-1. Aspen Utility'!I12*8760</f>
        <v>0</v>
      </c>
      <c r="AL42" s="688">
        <f>'2-1. Aspen Utility'!J12*8760</f>
        <v>0</v>
      </c>
      <c r="AM42" s="688">
        <f>'2-1. Aspen Utility'!K12*8760</f>
        <v>0</v>
      </c>
      <c r="AN42" s="688">
        <f>'2-1. Aspen Utility'!L12*8760</f>
        <v>0</v>
      </c>
      <c r="AO42" s="688">
        <f>'2-1. Aspen Utility'!M12*8760</f>
        <v>0</v>
      </c>
      <c r="AP42" s="688">
        <f>'2-1. Aspen Utility'!N12*8760</f>
        <v>0</v>
      </c>
      <c r="AQ42" s="688">
        <f>'2-1. Aspen Utility'!O12*8760</f>
        <v>0</v>
      </c>
      <c r="AR42" s="688">
        <f>'2-1. Aspen Utility'!P12*8760</f>
        <v>0</v>
      </c>
      <c r="AS42" s="688">
        <f>'2-1. Aspen Utility'!Q12*8760</f>
        <v>0</v>
      </c>
      <c r="AT42" s="688">
        <f>'2-1. Aspen Utility'!R12*8760</f>
        <v>0</v>
      </c>
      <c r="AU42" s="688">
        <f>'2-1. Aspen Utility'!S12*8760</f>
        <v>0</v>
      </c>
      <c r="BB42" s="387"/>
      <c r="BC42" s="386"/>
    </row>
    <row r="43" spans="2:55">
      <c r="B43" s="222" t="s">
        <v>167</v>
      </c>
      <c r="C43" s="358"/>
      <c r="D43" s="796"/>
      <c r="E43" s="630">
        <f t="shared" si="21"/>
        <v>14335462.4</v>
      </c>
      <c r="F43" s="630">
        <f t="shared" si="21"/>
        <v>310063880.63112682</v>
      </c>
      <c r="G43" s="630">
        <f t="shared" si="21"/>
        <v>238629105.56722879</v>
      </c>
      <c r="H43" s="630">
        <f t="shared" si="21"/>
        <v>197664068.24729598</v>
      </c>
      <c r="I43" s="630">
        <f t="shared" si="21"/>
        <v>168618365.59288359</v>
      </c>
      <c r="J43" s="928">
        <f t="shared" si="21"/>
        <v>310063880.63112682</v>
      </c>
      <c r="K43" s="928">
        <f t="shared" si="21"/>
        <v>238629105.56722879</v>
      </c>
      <c r="L43" s="928">
        <f t="shared" si="21"/>
        <v>197664068.24729598</v>
      </c>
      <c r="M43" s="928">
        <f t="shared" si="21"/>
        <v>168618365.59288359</v>
      </c>
      <c r="N43" s="693">
        <f t="shared" si="21"/>
        <v>0</v>
      </c>
      <c r="O43" s="693">
        <f t="shared" si="22"/>
        <v>0</v>
      </c>
      <c r="P43" s="631">
        <f t="shared" si="22"/>
        <v>0</v>
      </c>
      <c r="Q43" s="631">
        <f t="shared" si="22"/>
        <v>0</v>
      </c>
      <c r="R43" s="631">
        <f t="shared" si="22"/>
        <v>0</v>
      </c>
      <c r="S43" s="631">
        <f t="shared" si="22"/>
        <v>0</v>
      </c>
      <c r="T43" s="631">
        <f t="shared" si="22"/>
        <v>0</v>
      </c>
      <c r="U43" s="632">
        <f t="shared" si="22"/>
        <v>0</v>
      </c>
      <c r="Z43" s="725" t="s">
        <v>1040</v>
      </c>
      <c r="AA43" s="859">
        <v>0.97</v>
      </c>
      <c r="AB43" s="358" t="s">
        <v>664</v>
      </c>
      <c r="AC43" s="726">
        <v>1</v>
      </c>
      <c r="AD43" s="456" t="s">
        <v>677</v>
      </c>
      <c r="AE43" s="791">
        <v>0</v>
      </c>
      <c r="AF43" s="751">
        <f>'2-1. Aspen Utility'!D13*8000</f>
        <v>0</v>
      </c>
      <c r="AG43" s="751">
        <f>'2-1. Aspen Utility'!E13*8000</f>
        <v>0</v>
      </c>
      <c r="AH43" s="751">
        <f>'2-1. Aspen Utility'!F13*8000</f>
        <v>0</v>
      </c>
      <c r="AI43" s="751">
        <f>'2-1. Aspen Utility'!G13*8000</f>
        <v>0</v>
      </c>
      <c r="AJ43" s="751">
        <f>60.4520303959416*8000</f>
        <v>483616.24316753278</v>
      </c>
      <c r="AK43" s="751">
        <f>96.5456526625327*8000</f>
        <v>772365.22130026168</v>
      </c>
      <c r="AL43" s="751">
        <f>220.493472657649*8000</f>
        <v>1763947.7812611919</v>
      </c>
      <c r="AM43" s="751">
        <f>238.56180603357*8000</f>
        <v>1908494.44826856</v>
      </c>
      <c r="AN43" s="751">
        <f>'2-1. Aspen Utility'!L13*8000</f>
        <v>0</v>
      </c>
      <c r="AO43" s="751">
        <f>'2-1. Aspen Utility'!M13*8000</f>
        <v>0</v>
      </c>
      <c r="AP43" s="751">
        <f>'2-1. Aspen Utility'!N13*8000</f>
        <v>0</v>
      </c>
      <c r="AQ43" s="751">
        <f>'2-1. Aspen Utility'!O13*8000</f>
        <v>0</v>
      </c>
      <c r="AR43" s="751">
        <f>25.8255774051171*8000</f>
        <v>206604.61924093682</v>
      </c>
      <c r="AS43" s="751">
        <f>59.3920876100935*8000</f>
        <v>475136.70088074799</v>
      </c>
      <c r="AT43" s="751">
        <f>66.2519895670353*8000</f>
        <v>530015.9165362824</v>
      </c>
      <c r="AU43" s="751">
        <f>69.3949730071988*8000</f>
        <v>555159.78405759041</v>
      </c>
      <c r="AV43"/>
      <c r="BB43" s="387"/>
      <c r="BC43" s="386"/>
    </row>
    <row r="44" spans="2:55" ht="17.25" thickBot="1">
      <c r="B44" s="222" t="s">
        <v>168</v>
      </c>
      <c r="C44" s="358"/>
      <c r="D44" s="358"/>
      <c r="E44" s="630">
        <f t="shared" si="21"/>
        <v>0</v>
      </c>
      <c r="F44" s="630">
        <f t="shared" si="21"/>
        <v>0</v>
      </c>
      <c r="G44" s="630">
        <f t="shared" si="21"/>
        <v>0</v>
      </c>
      <c r="H44" s="630">
        <f t="shared" si="21"/>
        <v>0</v>
      </c>
      <c r="I44" s="630">
        <f t="shared" si="21"/>
        <v>0</v>
      </c>
      <c r="J44" s="928">
        <f t="shared" si="21"/>
        <v>0</v>
      </c>
      <c r="K44" s="928">
        <f t="shared" si="21"/>
        <v>0</v>
      </c>
      <c r="L44" s="928">
        <f t="shared" si="21"/>
        <v>0</v>
      </c>
      <c r="M44" s="928">
        <f t="shared" si="21"/>
        <v>0</v>
      </c>
      <c r="N44" s="693">
        <f t="shared" si="21"/>
        <v>0</v>
      </c>
      <c r="O44" s="693">
        <f t="shared" si="22"/>
        <v>0</v>
      </c>
      <c r="P44" s="631">
        <f t="shared" si="22"/>
        <v>0</v>
      </c>
      <c r="Q44" s="631">
        <f t="shared" si="22"/>
        <v>0</v>
      </c>
      <c r="R44" s="631">
        <f t="shared" si="22"/>
        <v>0</v>
      </c>
      <c r="S44" s="631">
        <f t="shared" si="22"/>
        <v>0</v>
      </c>
      <c r="T44" s="631">
        <f t="shared" si="22"/>
        <v>0</v>
      </c>
      <c r="U44" s="632">
        <f t="shared" si="22"/>
        <v>0</v>
      </c>
      <c r="Z44" s="729" t="s">
        <v>1041</v>
      </c>
      <c r="AA44" s="860">
        <v>100</v>
      </c>
      <c r="AB44" s="731" t="s">
        <v>1042</v>
      </c>
      <c r="AC44" s="732">
        <v>1</v>
      </c>
      <c r="AD44" s="584" t="s">
        <v>1043</v>
      </c>
      <c r="AE44" s="791">
        <v>0</v>
      </c>
      <c r="AF44" s="688">
        <v>0</v>
      </c>
      <c r="AG44" s="688">
        <v>0</v>
      </c>
      <c r="AH44" s="688">
        <v>0</v>
      </c>
      <c r="AI44" s="688">
        <v>0</v>
      </c>
      <c r="AJ44" s="688">
        <v>0</v>
      </c>
      <c r="AK44" s="689"/>
      <c r="AL44" s="689"/>
      <c r="AM44" s="689"/>
      <c r="AN44" s="689">
        <v>0</v>
      </c>
      <c r="AO44" s="689"/>
      <c r="AP44" s="690">
        <v>0</v>
      </c>
      <c r="AQ44" s="690">
        <v>0</v>
      </c>
      <c r="AR44" s="690"/>
      <c r="AS44" s="690">
        <v>0</v>
      </c>
      <c r="BB44" s="387"/>
      <c r="BC44" s="386"/>
    </row>
    <row r="45" spans="2:55">
      <c r="B45" s="222" t="s">
        <v>132</v>
      </c>
      <c r="C45" s="358"/>
      <c r="D45" s="358"/>
      <c r="E45" s="630">
        <f t="shared" si="21"/>
        <v>0</v>
      </c>
      <c r="F45" s="630">
        <f t="shared" si="21"/>
        <v>0</v>
      </c>
      <c r="G45" s="630">
        <f t="shared" si="21"/>
        <v>0</v>
      </c>
      <c r="H45" s="630">
        <f t="shared" si="21"/>
        <v>0</v>
      </c>
      <c r="I45" s="630">
        <f t="shared" si="21"/>
        <v>0</v>
      </c>
      <c r="J45" s="928">
        <f t="shared" si="21"/>
        <v>0</v>
      </c>
      <c r="K45" s="928">
        <f t="shared" si="21"/>
        <v>0</v>
      </c>
      <c r="L45" s="928">
        <f t="shared" si="21"/>
        <v>0</v>
      </c>
      <c r="M45" s="928">
        <f t="shared" si="21"/>
        <v>0</v>
      </c>
      <c r="N45" s="693">
        <f t="shared" si="21"/>
        <v>0</v>
      </c>
      <c r="O45" s="693">
        <f t="shared" si="22"/>
        <v>0</v>
      </c>
      <c r="P45" s="631">
        <f t="shared" si="22"/>
        <v>0</v>
      </c>
      <c r="Q45" s="631">
        <f t="shared" si="22"/>
        <v>0</v>
      </c>
      <c r="R45" s="631">
        <f t="shared" si="22"/>
        <v>0</v>
      </c>
      <c r="S45" s="631">
        <f t="shared" si="22"/>
        <v>0</v>
      </c>
      <c r="T45" s="631">
        <f t="shared" si="22"/>
        <v>0</v>
      </c>
      <c r="U45" s="632">
        <f t="shared" si="22"/>
        <v>0</v>
      </c>
      <c r="Z45" s="728" t="s">
        <v>1239</v>
      </c>
      <c r="AA45" s="859">
        <v>0</v>
      </c>
      <c r="AB45" s="878" t="s">
        <v>1240</v>
      </c>
      <c r="AC45" s="877">
        <v>1</v>
      </c>
      <c r="AD45" s="878" t="s">
        <v>1241</v>
      </c>
      <c r="AF45" s="370">
        <f t="shared" ref="AF45:AU45" si="23">(F129+F130+F131-F140*4-F141*2.5-F142*2-F143*0)/1000</f>
        <v>11527819.357063735</v>
      </c>
      <c r="AG45" s="370">
        <f t="shared" si="23"/>
        <v>8537050.4833492544</v>
      </c>
      <c r="AH45" s="370">
        <f t="shared" si="23"/>
        <v>7055116.9639561167</v>
      </c>
      <c r="AI45" s="370">
        <f t="shared" si="23"/>
        <v>6114178.7505725436</v>
      </c>
      <c r="AJ45" s="370">
        <f t="shared" si="23"/>
        <v>8469984.0315974001</v>
      </c>
      <c r="AK45" s="370">
        <f t="shared" si="23"/>
        <v>5876200.2227170896</v>
      </c>
      <c r="AL45" s="370">
        <f t="shared" si="23"/>
        <v>4752627.1584114321</v>
      </c>
      <c r="AM45" s="370">
        <f t="shared" si="23"/>
        <v>3944660.5144411838</v>
      </c>
      <c r="AN45" s="370">
        <f t="shared" si="23"/>
        <v>13746656.065970622</v>
      </c>
      <c r="AO45" s="370">
        <f t="shared" si="23"/>
        <v>10291346.038374929</v>
      </c>
      <c r="AP45" s="370">
        <f t="shared" si="23"/>
        <v>8449703.001702128</v>
      </c>
      <c r="AQ45" s="370">
        <f t="shared" si="23"/>
        <v>7335974.4710107483</v>
      </c>
      <c r="AR45" s="370">
        <f t="shared" si="23"/>
        <v>13660360.580502477</v>
      </c>
      <c r="AS45" s="370">
        <f t="shared" si="23"/>
        <v>10074391.430518789</v>
      </c>
      <c r="AT45" s="370">
        <f t="shared" si="23"/>
        <v>8212970.6449376028</v>
      </c>
      <c r="AU45" s="370">
        <f t="shared" si="23"/>
        <v>7019204.1821950283</v>
      </c>
      <c r="BB45" s="387"/>
      <c r="BC45" s="386"/>
    </row>
    <row r="46" spans="2:55">
      <c r="B46" s="222" t="s">
        <v>1049</v>
      </c>
      <c r="C46" s="358"/>
      <c r="D46" s="358"/>
      <c r="E46" s="630">
        <f t="shared" si="21"/>
        <v>0</v>
      </c>
      <c r="F46" s="630">
        <f t="shared" si="21"/>
        <v>0</v>
      </c>
      <c r="G46" s="630">
        <f t="shared" si="21"/>
        <v>0</v>
      </c>
      <c r="H46" s="630">
        <f t="shared" si="21"/>
        <v>0</v>
      </c>
      <c r="I46" s="630">
        <f t="shared" si="21"/>
        <v>0</v>
      </c>
      <c r="J46" s="928">
        <f t="shared" si="21"/>
        <v>0</v>
      </c>
      <c r="K46" s="928">
        <f t="shared" si="21"/>
        <v>0</v>
      </c>
      <c r="L46" s="928">
        <f t="shared" si="21"/>
        <v>0</v>
      </c>
      <c r="M46" s="928">
        <f t="shared" si="21"/>
        <v>0</v>
      </c>
      <c r="N46" s="693">
        <f t="shared" si="21"/>
        <v>0</v>
      </c>
      <c r="O46" s="693">
        <f t="shared" si="22"/>
        <v>0</v>
      </c>
      <c r="P46" s="631">
        <f t="shared" si="22"/>
        <v>0</v>
      </c>
      <c r="Q46" s="631">
        <f t="shared" si="22"/>
        <v>0</v>
      </c>
      <c r="R46" s="631">
        <f t="shared" si="22"/>
        <v>0</v>
      </c>
      <c r="S46" s="631">
        <f t="shared" si="22"/>
        <v>0</v>
      </c>
      <c r="T46" s="631">
        <f t="shared" si="22"/>
        <v>0</v>
      </c>
      <c r="U46" s="632">
        <f t="shared" si="22"/>
        <v>0</v>
      </c>
      <c r="AK46" s="705"/>
      <c r="AL46" s="705"/>
      <c r="AM46" s="705"/>
      <c r="AN46" s="705"/>
      <c r="AO46" s="705"/>
      <c r="BB46" s="387"/>
      <c r="BC46" s="386"/>
    </row>
    <row r="47" spans="2:55">
      <c r="B47" s="222" t="s">
        <v>1048</v>
      </c>
      <c r="C47" s="358"/>
      <c r="D47" s="358"/>
      <c r="E47" s="630">
        <f t="shared" si="21"/>
        <v>0</v>
      </c>
      <c r="F47" s="630">
        <f t="shared" si="21"/>
        <v>0</v>
      </c>
      <c r="G47" s="630">
        <f t="shared" si="21"/>
        <v>0</v>
      </c>
      <c r="H47" s="630">
        <f t="shared" si="21"/>
        <v>0</v>
      </c>
      <c r="I47" s="630">
        <f t="shared" si="21"/>
        <v>0</v>
      </c>
      <c r="J47" s="928">
        <f t="shared" si="21"/>
        <v>0</v>
      </c>
      <c r="K47" s="928">
        <f t="shared" si="21"/>
        <v>0</v>
      </c>
      <c r="L47" s="928">
        <f t="shared" si="21"/>
        <v>0</v>
      </c>
      <c r="M47" s="928">
        <f t="shared" si="21"/>
        <v>0</v>
      </c>
      <c r="N47" s="693">
        <f t="shared" si="21"/>
        <v>0</v>
      </c>
      <c r="O47" s="693">
        <f t="shared" si="22"/>
        <v>0</v>
      </c>
      <c r="P47" s="631">
        <f t="shared" si="22"/>
        <v>0</v>
      </c>
      <c r="Q47" s="631">
        <f t="shared" si="22"/>
        <v>0</v>
      </c>
      <c r="R47" s="631">
        <f t="shared" si="22"/>
        <v>0</v>
      </c>
      <c r="S47" s="631">
        <f t="shared" si="22"/>
        <v>0</v>
      </c>
      <c r="T47" s="631">
        <f t="shared" si="22"/>
        <v>0</v>
      </c>
      <c r="U47" s="632">
        <f t="shared" si="22"/>
        <v>0</v>
      </c>
      <c r="Z47" s="391"/>
      <c r="AK47" s="705"/>
      <c r="AL47" s="705"/>
      <c r="AM47" s="705"/>
      <c r="AN47" s="705"/>
      <c r="AO47" s="705"/>
      <c r="AP47" s="403"/>
      <c r="AQ47" s="435"/>
      <c r="AR47" s="435"/>
      <c r="AS47" s="435"/>
      <c r="BB47" s="387"/>
      <c r="BC47" s="386"/>
    </row>
    <row r="48" spans="2:55">
      <c r="B48" s="222" t="s">
        <v>1143</v>
      </c>
      <c r="C48" s="358"/>
      <c r="D48" s="358"/>
      <c r="F48" s="630">
        <f t="shared" ref="F48:U48" si="24">AF30*$AA30*$AC30</f>
        <v>0</v>
      </c>
      <c r="G48" s="630">
        <f t="shared" si="24"/>
        <v>0</v>
      </c>
      <c r="H48" s="630">
        <f t="shared" si="24"/>
        <v>0</v>
      </c>
      <c r="I48" s="630">
        <f t="shared" si="24"/>
        <v>0</v>
      </c>
      <c r="J48" s="928">
        <f t="shared" si="24"/>
        <v>465426.48993348482</v>
      </c>
      <c r="K48" s="928">
        <f t="shared" si="24"/>
        <v>498216.59305743442</v>
      </c>
      <c r="L48" s="928">
        <f t="shared" si="24"/>
        <v>823230.9726300959</v>
      </c>
      <c r="M48" s="928">
        <f t="shared" si="24"/>
        <v>768583.39469043515</v>
      </c>
      <c r="N48" s="630">
        <f t="shared" si="24"/>
        <v>0</v>
      </c>
      <c r="O48" s="630">
        <f t="shared" si="24"/>
        <v>0</v>
      </c>
      <c r="P48" s="630">
        <f t="shared" si="24"/>
        <v>0</v>
      </c>
      <c r="Q48" s="630">
        <f t="shared" si="24"/>
        <v>0</v>
      </c>
      <c r="R48" s="630">
        <f t="shared" si="24"/>
        <v>68505.224728159446</v>
      </c>
      <c r="S48" s="631">
        <f t="shared" si="24"/>
        <v>168683.966744556</v>
      </c>
      <c r="T48" s="631">
        <f t="shared" si="24"/>
        <v>181319.69128630881</v>
      </c>
      <c r="U48" s="632">
        <f t="shared" si="24"/>
        <v>201403.65420641919</v>
      </c>
      <c r="Z48" s="370">
        <f>1424*1300</f>
        <v>1851200</v>
      </c>
      <c r="AK48" s="705"/>
      <c r="AL48" s="705"/>
      <c r="AM48" s="705"/>
      <c r="AN48" s="705"/>
      <c r="AO48" s="705"/>
      <c r="AP48" s="435"/>
      <c r="AQ48" s="435"/>
      <c r="AR48" s="435"/>
      <c r="AS48" s="435"/>
      <c r="BB48" s="387"/>
      <c r="BC48" s="386"/>
    </row>
    <row r="49" spans="2:55">
      <c r="B49" s="344" t="s">
        <v>649</v>
      </c>
      <c r="C49" s="358"/>
      <c r="D49" s="358"/>
      <c r="E49" s="626">
        <f>SUM(E50:E62)</f>
        <v>1332833105.3135271</v>
      </c>
      <c r="F49" s="626">
        <f t="shared" ref="F49:R49" si="25">SUM(F50:F62)</f>
        <v>1272255175.2142482</v>
      </c>
      <c r="G49" s="626">
        <f t="shared" si="25"/>
        <v>931538607.83481395</v>
      </c>
      <c r="H49" s="626">
        <f>SUM(H50:H62)</f>
        <v>741134015.56447613</v>
      </c>
      <c r="I49" s="626">
        <f>SUM(I50:I62)</f>
        <v>648081787.3125124</v>
      </c>
      <c r="J49" s="927">
        <f t="shared" si="25"/>
        <v>1422262296.8534553</v>
      </c>
      <c r="K49" s="927">
        <f t="shared" si="25"/>
        <v>1061486951.2567221</v>
      </c>
      <c r="L49" s="927">
        <f t="shared" si="25"/>
        <v>849618287.44919705</v>
      </c>
      <c r="M49" s="927">
        <f t="shared" si="25"/>
        <v>743740043.50517893</v>
      </c>
      <c r="N49" s="692">
        <f>SUM(N50:N62)</f>
        <v>2386797427.8474917</v>
      </c>
      <c r="O49" s="692">
        <f t="shared" ref="O49:P49" si="26">SUM(O50:O62)</f>
        <v>1800455949.4581184</v>
      </c>
      <c r="P49" s="692">
        <f t="shared" si="26"/>
        <v>1451381415.5614016</v>
      </c>
      <c r="Q49" s="627">
        <f t="shared" si="25"/>
        <v>1264275786.2643523</v>
      </c>
      <c r="R49" s="627">
        <f t="shared" si="25"/>
        <v>2390908232.7163086</v>
      </c>
      <c r="S49" s="627">
        <f>SUM(S50:S62)</f>
        <v>1810069400.1530883</v>
      </c>
      <c r="T49" s="627">
        <f t="shared" ref="T49:U49" si="27">SUM(T50:T62)</f>
        <v>1461464398.2755113</v>
      </c>
      <c r="U49" s="628">
        <f t="shared" si="27"/>
        <v>1284034941.3701687</v>
      </c>
      <c r="AK49" s="705"/>
      <c r="AL49" s="705"/>
      <c r="AM49" s="705"/>
      <c r="AN49" s="705"/>
      <c r="AO49" s="705"/>
      <c r="AP49" s="435"/>
      <c r="AQ49" s="435"/>
      <c r="AR49" s="435"/>
      <c r="AS49" s="435"/>
      <c r="BB49" s="387"/>
      <c r="BC49" s="386"/>
    </row>
    <row r="50" spans="2:55">
      <c r="B50" s="222" t="s">
        <v>870</v>
      </c>
      <c r="C50" s="358"/>
      <c r="D50" s="358"/>
      <c r="E50" s="630">
        <f t="shared" ref="E50:E62" si="28">AE32*$AA32*$AC32</f>
        <v>143265609.75522712</v>
      </c>
      <c r="F50" s="630">
        <f t="shared" ref="F50:F62" si="29">AF32*$AA32*$AC32</f>
        <v>298718021.33935952</v>
      </c>
      <c r="G50" s="630">
        <f>AG32*$AA32*$AC32</f>
        <v>229895443.76482323</v>
      </c>
      <c r="H50" s="630">
        <f>AH32*$AA32*$AC32</f>
        <v>190428399.08983237</v>
      </c>
      <c r="I50" s="630">
        <f>AI32*$AA32*$AC32</f>
        <v>165248923.42258924</v>
      </c>
      <c r="J50" s="928">
        <f t="shared" ref="J50:J62" si="30">AJ32*$AA32*$AC32</f>
        <v>298718021.33935952</v>
      </c>
      <c r="K50" s="928">
        <f t="shared" ref="K50:K62" si="31">AK32*$AA32*$AC32</f>
        <v>229895443.76482323</v>
      </c>
      <c r="L50" s="928">
        <f t="shared" ref="L50:L62" si="32">AL32*$AA32*$AC32</f>
        <v>190428399.08983237</v>
      </c>
      <c r="M50" s="928">
        <f t="shared" ref="M50:M62" si="33">AM32*$AA32*$AC32</f>
        <v>165248923.42258924</v>
      </c>
      <c r="N50" s="693">
        <f t="shared" ref="N50:N62" si="34">AN32*$AA32*$AC32</f>
        <v>0</v>
      </c>
      <c r="O50" s="693">
        <f t="shared" ref="O50:P50" si="35">AO32*$AA32*$AC32</f>
        <v>0</v>
      </c>
      <c r="P50" s="693">
        <f t="shared" si="35"/>
        <v>0</v>
      </c>
      <c r="Q50" s="631">
        <f t="shared" ref="Q50:U51" si="36">AQ32*$AA32*$AC32</f>
        <v>0</v>
      </c>
      <c r="R50" s="631">
        <f t="shared" si="36"/>
        <v>0</v>
      </c>
      <c r="S50" s="631">
        <f t="shared" si="36"/>
        <v>0</v>
      </c>
      <c r="T50" s="631">
        <f t="shared" si="36"/>
        <v>0</v>
      </c>
      <c r="U50" s="632">
        <f t="shared" si="36"/>
        <v>0</v>
      </c>
      <c r="AK50" s="705"/>
      <c r="AL50" s="705"/>
      <c r="AM50" s="705"/>
      <c r="AN50" s="705"/>
      <c r="AO50" s="705"/>
      <c r="AP50" s="435"/>
      <c r="AQ50" s="435"/>
      <c r="AR50" s="435"/>
      <c r="AS50" s="435"/>
      <c r="BB50" s="387"/>
      <c r="BC50" s="386"/>
    </row>
    <row r="51" spans="2:55">
      <c r="B51" s="222" t="s">
        <v>782</v>
      </c>
      <c r="C51" s="358"/>
      <c r="D51" s="358"/>
      <c r="E51" s="630">
        <f t="shared" si="28"/>
        <v>101884143.59999999</v>
      </c>
      <c r="F51" s="630">
        <f t="shared" si="29"/>
        <v>66468480</v>
      </c>
      <c r="G51" s="630">
        <f t="shared" ref="G51:G62" si="37">AG33*$AA33*$AC33</f>
        <v>46633464</v>
      </c>
      <c r="H51" s="630">
        <f t="shared" ref="H51:H62" si="38">AH33*$AA33*$AC33</f>
        <v>14739288</v>
      </c>
      <c r="I51" s="630">
        <f t="shared" ref="I51:I62" si="39">AI33*$AA33*$AC33</f>
        <v>31166231.999999996</v>
      </c>
      <c r="J51" s="928">
        <f t="shared" si="30"/>
        <v>105233306.39999999</v>
      </c>
      <c r="K51" s="928">
        <f t="shared" si="31"/>
        <v>81591275.999999985</v>
      </c>
      <c r="L51" s="928">
        <f t="shared" si="32"/>
        <v>43386009.599999994</v>
      </c>
      <c r="M51" s="928">
        <f t="shared" si="33"/>
        <v>56754811.199999996</v>
      </c>
      <c r="N51" s="693">
        <f t="shared" si="34"/>
        <v>66468480</v>
      </c>
      <c r="O51" s="693">
        <f t="shared" ref="O51:P51" si="40">AO33*$AA33*$AC33</f>
        <v>46633464</v>
      </c>
      <c r="P51" s="693">
        <f t="shared" si="40"/>
        <v>14739288</v>
      </c>
      <c r="Q51" s="631">
        <f t="shared" si="36"/>
        <v>31166231.999999996</v>
      </c>
      <c r="R51" s="631">
        <f t="shared" si="36"/>
        <v>67190404.920000002</v>
      </c>
      <c r="S51" s="631">
        <f t="shared" si="36"/>
        <v>48415554.614399999</v>
      </c>
      <c r="T51" s="631">
        <f t="shared" si="36"/>
        <v>16645157.615999997</v>
      </c>
      <c r="U51" s="632">
        <f t="shared" si="36"/>
        <v>34087697.088</v>
      </c>
      <c r="AK51" s="705"/>
      <c r="AL51" s="705"/>
      <c r="AM51" s="705"/>
      <c r="AN51" s="705"/>
      <c r="AO51" s="705"/>
      <c r="AP51" s="403">
        <f>AP55/8000</f>
        <v>0</v>
      </c>
      <c r="AQ51" s="435"/>
      <c r="AR51" s="403">
        <v>18.943977465359534</v>
      </c>
      <c r="AS51" s="403">
        <v>0.85601968331884803</v>
      </c>
      <c r="BB51" s="387"/>
      <c r="BC51" s="386"/>
    </row>
    <row r="52" spans="2:55" ht="17.25" thickBot="1">
      <c r="B52" s="222" t="s">
        <v>920</v>
      </c>
      <c r="C52" s="358"/>
      <c r="D52" s="358"/>
      <c r="E52" s="630">
        <f t="shared" si="28"/>
        <v>671095751.03999996</v>
      </c>
      <c r="F52" s="630">
        <f>AF34*$AA34*$AC34</f>
        <v>620798720</v>
      </c>
      <c r="G52" s="630">
        <f t="shared" si="37"/>
        <v>451570560</v>
      </c>
      <c r="H52" s="630">
        <f t="shared" si="38"/>
        <v>327157760</v>
      </c>
      <c r="I52" s="630">
        <f t="shared" si="39"/>
        <v>247628800</v>
      </c>
      <c r="J52" s="928">
        <f t="shared" si="30"/>
        <v>659175256.32000005</v>
      </c>
      <c r="K52" s="928">
        <f t="shared" si="31"/>
        <v>486094971.51999998</v>
      </c>
      <c r="L52" s="928">
        <f t="shared" si="32"/>
        <v>356577498.88000005</v>
      </c>
      <c r="M52" s="928">
        <f t="shared" si="33"/>
        <v>274794935.04000002</v>
      </c>
      <c r="N52" s="693">
        <f t="shared" si="34"/>
        <v>2034058993.9726028</v>
      </c>
      <c r="O52" s="693">
        <f t="shared" ref="O52:P52" si="41">AO34*$AA34*$AC34</f>
        <v>1550383345.3881278</v>
      </c>
      <c r="P52" s="693">
        <f t="shared" si="41"/>
        <v>1227833559.0867579</v>
      </c>
      <c r="Q52" s="693">
        <f t="shared" ref="Q52" si="42">AQ34*$AA34*$AC34</f>
        <v>1029071722.3744292</v>
      </c>
      <c r="R52" s="693">
        <f t="shared" ref="R52" si="43">AR34*$AA34*$AC34</f>
        <v>2035196461.857403</v>
      </c>
      <c r="S52" s="693">
        <f t="shared" ref="S52" si="44">AS34*$AA34*$AC34</f>
        <v>1553165922.2201278</v>
      </c>
      <c r="T52" s="693">
        <f t="shared" ref="T52" si="45">AT34*$AA34*$AC34</f>
        <v>1230824575.022758</v>
      </c>
      <c r="U52" s="871">
        <f t="shared" ref="U52" si="46">AU34*$AA34*$AC34</f>
        <v>1033794958.2784292</v>
      </c>
      <c r="AK52" s="705"/>
      <c r="AL52" s="705"/>
      <c r="AM52" s="705"/>
      <c r="AN52" s="705"/>
      <c r="AO52" s="705"/>
      <c r="AP52" s="435"/>
      <c r="AQ52" s="435"/>
      <c r="AR52" s="403">
        <f>AI54/45186903.5889714</f>
        <v>19.807233477424244</v>
      </c>
      <c r="AS52" s="403">
        <f>AI54/1000000000</f>
        <v>0.89502754950861596</v>
      </c>
      <c r="BB52" s="387"/>
      <c r="BC52" s="386"/>
    </row>
    <row r="53" spans="2:55">
      <c r="B53" s="222" t="s">
        <v>921</v>
      </c>
      <c r="C53" s="358"/>
      <c r="D53" s="358"/>
      <c r="E53" s="630">
        <f t="shared" si="28"/>
        <v>0</v>
      </c>
      <c r="F53" s="630">
        <f t="shared" si="29"/>
        <v>0</v>
      </c>
      <c r="G53" s="630">
        <f t="shared" si="37"/>
        <v>0</v>
      </c>
      <c r="H53" s="630">
        <f t="shared" si="38"/>
        <v>0</v>
      </c>
      <c r="I53" s="630">
        <f t="shared" si="39"/>
        <v>0</v>
      </c>
      <c r="J53" s="928">
        <f t="shared" si="30"/>
        <v>0</v>
      </c>
      <c r="K53" s="928">
        <f t="shared" si="31"/>
        <v>0</v>
      </c>
      <c r="L53" s="928">
        <f t="shared" si="32"/>
        <v>0</v>
      </c>
      <c r="M53" s="928">
        <f t="shared" si="33"/>
        <v>0</v>
      </c>
      <c r="N53" s="693">
        <f t="shared" si="34"/>
        <v>0</v>
      </c>
      <c r="O53" s="693">
        <f t="shared" ref="O53:P53" si="47">AO35*$AA35*$AC35</f>
        <v>0</v>
      </c>
      <c r="P53" s="693">
        <f t="shared" si="47"/>
        <v>0</v>
      </c>
      <c r="Q53" s="631">
        <f t="shared" ref="Q53:U54" si="48">AQ35*$AA35*$AC35</f>
        <v>0</v>
      </c>
      <c r="R53" s="631">
        <f t="shared" si="48"/>
        <v>0</v>
      </c>
      <c r="S53" s="631">
        <f t="shared" si="48"/>
        <v>0</v>
      </c>
      <c r="T53" s="631">
        <f t="shared" si="48"/>
        <v>0</v>
      </c>
      <c r="U53" s="632">
        <f t="shared" si="48"/>
        <v>0</v>
      </c>
      <c r="Z53" s="733" t="s">
        <v>877</v>
      </c>
      <c r="AA53" s="734" t="s">
        <v>872</v>
      </c>
      <c r="AB53" s="734" t="s">
        <v>650</v>
      </c>
      <c r="AC53" s="735" t="s">
        <v>663</v>
      </c>
      <c r="AD53" s="319" t="s">
        <v>651</v>
      </c>
      <c r="AE53" s="319" t="s">
        <v>773</v>
      </c>
      <c r="AF53" s="315" t="s">
        <v>1147</v>
      </c>
      <c r="AG53" s="315" t="s">
        <v>1148</v>
      </c>
      <c r="AH53" s="315" t="s">
        <v>1149</v>
      </c>
      <c r="AI53" s="315" t="s">
        <v>1150</v>
      </c>
      <c r="AJ53" s="841" t="s">
        <v>1164</v>
      </c>
      <c r="AK53" s="842" t="s">
        <v>1166</v>
      </c>
      <c r="AL53" s="842" t="s">
        <v>1167</v>
      </c>
      <c r="AM53" s="842" t="s">
        <v>1168</v>
      </c>
      <c r="AN53" s="843" t="s">
        <v>1172</v>
      </c>
      <c r="AO53" s="843" t="s">
        <v>1174</v>
      </c>
      <c r="AP53" s="844" t="s">
        <v>1176</v>
      </c>
      <c r="AQ53" s="844" t="s">
        <v>1178</v>
      </c>
      <c r="AR53" s="845" t="s">
        <v>1180</v>
      </c>
      <c r="AS53" s="845" t="s">
        <v>1182</v>
      </c>
      <c r="AT53" s="845" t="s">
        <v>1184</v>
      </c>
      <c r="AU53" s="845" t="s">
        <v>1186</v>
      </c>
      <c r="BB53" s="387"/>
      <c r="BC53" s="386"/>
    </row>
    <row r="54" spans="2:55">
      <c r="B54" s="222" t="s">
        <v>1068</v>
      </c>
      <c r="C54" s="358"/>
      <c r="D54" s="358"/>
      <c r="E54" s="630">
        <f t="shared" si="28"/>
        <v>0</v>
      </c>
      <c r="F54" s="630">
        <f t="shared" si="29"/>
        <v>0</v>
      </c>
      <c r="G54" s="630">
        <f t="shared" si="37"/>
        <v>0</v>
      </c>
      <c r="H54" s="630">
        <f t="shared" si="38"/>
        <v>0</v>
      </c>
      <c r="I54" s="630">
        <f t="shared" si="39"/>
        <v>0</v>
      </c>
      <c r="J54" s="928">
        <f t="shared" si="30"/>
        <v>0</v>
      </c>
      <c r="K54" s="928">
        <f t="shared" si="31"/>
        <v>0</v>
      </c>
      <c r="L54" s="928">
        <f t="shared" si="32"/>
        <v>0</v>
      </c>
      <c r="M54" s="928">
        <f t="shared" si="33"/>
        <v>0</v>
      </c>
      <c r="N54" s="693">
        <f t="shared" si="34"/>
        <v>0</v>
      </c>
      <c r="O54" s="693">
        <f t="shared" ref="O54:P54" si="49">AO36*$AA36*$AC36</f>
        <v>0</v>
      </c>
      <c r="P54" s="693">
        <f t="shared" si="49"/>
        <v>0</v>
      </c>
      <c r="Q54" s="631">
        <f t="shared" si="48"/>
        <v>0</v>
      </c>
      <c r="R54" s="631">
        <f t="shared" si="48"/>
        <v>0</v>
      </c>
      <c r="S54" s="631">
        <f t="shared" si="48"/>
        <v>0</v>
      </c>
      <c r="T54" s="631">
        <f t="shared" si="48"/>
        <v>0</v>
      </c>
      <c r="U54" s="632">
        <f t="shared" si="48"/>
        <v>0</v>
      </c>
      <c r="Z54" s="235" t="s">
        <v>622</v>
      </c>
      <c r="AA54" s="736" t="s">
        <v>853</v>
      </c>
      <c r="AB54" s="358" t="s">
        <v>664</v>
      </c>
      <c r="AC54" s="737">
        <v>1</v>
      </c>
      <c r="AD54" s="523" t="s">
        <v>885</v>
      </c>
      <c r="AE54" s="524">
        <f>'3. CEF &amp; EEF'!D20*8000</f>
        <v>486941333.18155122</v>
      </c>
      <c r="AF54" s="524">
        <f>'3. CEF &amp; EEF'!E20*8000</f>
        <v>1160896180.2469041</v>
      </c>
      <c r="AG54" s="524">
        <f>'3. CEF &amp; EEF'!F20*8000</f>
        <v>1067900644.830296</v>
      </c>
      <c r="AH54" s="524">
        <f>'3. CEF &amp; EEF'!G20*8000</f>
        <v>1002650848.95968</v>
      </c>
      <c r="AI54" s="524">
        <f>'3. CEF &amp; EEF'!H20*8000</f>
        <v>895027549.50861597</v>
      </c>
      <c r="AJ54" s="524">
        <f>'3. CEF &amp; EEF'!I20*8000</f>
        <v>1160896180.2469041</v>
      </c>
      <c r="AK54" s="524">
        <f>'3. CEF &amp; EEF'!J20*8000</f>
        <v>1067900644.830296</v>
      </c>
      <c r="AL54" s="524">
        <f>'3. CEF &amp; EEF'!K20*8000</f>
        <v>1002650848.95968</v>
      </c>
      <c r="AM54" s="524">
        <f>'3. CEF &amp; EEF'!L20*8000</f>
        <v>895027549.50861597</v>
      </c>
      <c r="AN54" s="524">
        <f>'3. CEF &amp; EEF'!M20*8000</f>
        <v>1160804537.0580318</v>
      </c>
      <c r="AO54" s="524">
        <f>'3. CEF &amp; EEF'!N20*8000</f>
        <v>1067543665.3682401</v>
      </c>
      <c r="AP54" s="524">
        <f>'3. CEF &amp; EEF'!O20*8000</f>
        <v>1002590209.62112</v>
      </c>
      <c r="AQ54" s="524">
        <f>'3. CEF &amp; EEF'!P20*8000</f>
        <v>908839447.00947189</v>
      </c>
      <c r="AR54" s="524">
        <f>'3. CEF &amp; EEF'!Q20*8000</f>
        <v>1160804537.0580318</v>
      </c>
      <c r="AS54" s="524">
        <f>'3. CEF &amp; EEF'!R20*8000</f>
        <v>1067543665.3682401</v>
      </c>
      <c r="AT54" s="524">
        <f>'3. CEF &amp; EEF'!S20*8000</f>
        <v>1002590209.62112</v>
      </c>
      <c r="AU54" s="524">
        <f>'3. CEF &amp; EEF'!T20*8000</f>
        <v>908839447.00947189</v>
      </c>
      <c r="BB54" s="387"/>
      <c r="BC54" s="386"/>
    </row>
    <row r="55" spans="2:55">
      <c r="B55" s="222" t="s">
        <v>924</v>
      </c>
      <c r="C55" s="358"/>
      <c r="D55" s="358"/>
      <c r="E55" s="630">
        <f t="shared" si="28"/>
        <v>0</v>
      </c>
      <c r="F55" s="630">
        <f t="shared" si="29"/>
        <v>0</v>
      </c>
      <c r="G55" s="630">
        <f t="shared" si="37"/>
        <v>0</v>
      </c>
      <c r="H55" s="630">
        <f t="shared" si="38"/>
        <v>0</v>
      </c>
      <c r="I55" s="630">
        <f t="shared" si="39"/>
        <v>0</v>
      </c>
      <c r="J55" s="928">
        <f t="shared" si="30"/>
        <v>0</v>
      </c>
      <c r="K55" s="928">
        <f t="shared" si="31"/>
        <v>0</v>
      </c>
      <c r="L55" s="928">
        <f t="shared" si="32"/>
        <v>0</v>
      </c>
      <c r="M55" s="928">
        <f t="shared" si="33"/>
        <v>0</v>
      </c>
      <c r="N55" s="693">
        <f t="shared" si="34"/>
        <v>0</v>
      </c>
      <c r="O55" s="693">
        <f t="shared" ref="O55:P55" si="50">AO37*$AA37*$AC37</f>
        <v>0</v>
      </c>
      <c r="P55" s="693">
        <f t="shared" si="50"/>
        <v>0</v>
      </c>
      <c r="Q55" s="631">
        <f>AQ37*0.096*$AC37</f>
        <v>0</v>
      </c>
      <c r="R55" s="631">
        <f>AR37*0.096*$AC37</f>
        <v>0</v>
      </c>
      <c r="S55" s="631">
        <f>AS37*0.096*$AC37</f>
        <v>0</v>
      </c>
      <c r="T55" s="631">
        <f>AT37*0.096*$AC37</f>
        <v>0</v>
      </c>
      <c r="U55" s="632">
        <f>AU37*0.096*$AC37</f>
        <v>0</v>
      </c>
      <c r="Z55" s="235" t="s">
        <v>629</v>
      </c>
      <c r="AA55" s="738">
        <v>1.4239999999999999</v>
      </c>
      <c r="AB55" s="358" t="s">
        <v>664</v>
      </c>
      <c r="AC55" s="737">
        <v>1</v>
      </c>
      <c r="AD55" s="523" t="s">
        <v>885</v>
      </c>
      <c r="AE55" s="524">
        <v>0</v>
      </c>
      <c r="AF55" s="524">
        <v>0</v>
      </c>
      <c r="AG55" s="524">
        <v>0</v>
      </c>
      <c r="AH55" s="524">
        <v>0</v>
      </c>
      <c r="AI55" s="524">
        <v>0</v>
      </c>
      <c r="AJ55" s="524">
        <v>0</v>
      </c>
      <c r="AK55" s="524">
        <v>0</v>
      </c>
      <c r="AL55" s="524">
        <v>0</v>
      </c>
      <c r="AM55" s="524">
        <v>0</v>
      </c>
      <c r="AN55" s="524">
        <v>0</v>
      </c>
      <c r="AO55" s="524">
        <v>0</v>
      </c>
      <c r="AP55" s="524">
        <v>0</v>
      </c>
      <c r="AQ55" s="524">
        <v>0</v>
      </c>
      <c r="AR55" s="524">
        <v>0</v>
      </c>
      <c r="AS55" s="524">
        <v>0</v>
      </c>
      <c r="AT55" s="524">
        <v>0</v>
      </c>
      <c r="AU55" s="524">
        <v>0</v>
      </c>
      <c r="BB55" s="387"/>
      <c r="BC55" s="386"/>
    </row>
    <row r="56" spans="2:55">
      <c r="B56" s="222" t="s">
        <v>186</v>
      </c>
      <c r="C56" s="358"/>
      <c r="D56" s="358"/>
      <c r="E56" s="630">
        <f t="shared" si="28"/>
        <v>572343.22860000003</v>
      </c>
      <c r="F56" s="630">
        <f t="shared" si="29"/>
        <v>0</v>
      </c>
      <c r="G56" s="630">
        <f t="shared" si="37"/>
        <v>0</v>
      </c>
      <c r="H56" s="630">
        <f t="shared" si="38"/>
        <v>0</v>
      </c>
      <c r="I56" s="630">
        <f t="shared" si="39"/>
        <v>0</v>
      </c>
      <c r="J56" s="928">
        <f t="shared" si="30"/>
        <v>0</v>
      </c>
      <c r="K56" s="928">
        <f t="shared" si="31"/>
        <v>0</v>
      </c>
      <c r="L56" s="928">
        <f t="shared" si="32"/>
        <v>0</v>
      </c>
      <c r="M56" s="928">
        <f t="shared" si="33"/>
        <v>0</v>
      </c>
      <c r="N56" s="693">
        <f t="shared" si="34"/>
        <v>0</v>
      </c>
      <c r="O56" s="693">
        <f t="shared" ref="O56:P56" si="51">AO38*$AA38*$AC38</f>
        <v>0</v>
      </c>
      <c r="P56" s="693">
        <f t="shared" si="51"/>
        <v>0</v>
      </c>
      <c r="Q56" s="631">
        <f t="shared" ref="Q56:U62" si="52">AQ38*$AA38*$AC38</f>
        <v>0</v>
      </c>
      <c r="R56" s="631">
        <f t="shared" si="52"/>
        <v>0</v>
      </c>
      <c r="S56" s="631">
        <f t="shared" si="52"/>
        <v>0</v>
      </c>
      <c r="T56" s="631">
        <f t="shared" si="52"/>
        <v>0</v>
      </c>
      <c r="U56" s="632">
        <f t="shared" si="52"/>
        <v>0</v>
      </c>
      <c r="Z56" s="235" t="s">
        <v>1030</v>
      </c>
      <c r="AA56" s="738">
        <v>2.7</v>
      </c>
      <c r="AB56" s="358" t="s">
        <v>664</v>
      </c>
      <c r="AC56" s="737">
        <v>1</v>
      </c>
      <c r="AD56" s="523" t="s">
        <v>885</v>
      </c>
      <c r="AE56" s="524">
        <f>'3. CEF &amp; EEF'!D21*8000</f>
        <v>243168537.67527676</v>
      </c>
      <c r="AF56" s="524">
        <f>'3. CEF &amp; EEF'!E21*8000</f>
        <v>233635400.70064721</v>
      </c>
      <c r="AG56" s="524">
        <f>'3. CEF &amp; EEF'!F21*8000</f>
        <v>245996505.19076639</v>
      </c>
      <c r="AH56" s="524">
        <f>'3. CEF &amp; EEF'!G21*8000</f>
        <v>252541045.7800568</v>
      </c>
      <c r="AI56" s="524">
        <f>'3. CEF &amp; EEF'!H21*8000</f>
        <v>264797263.52022156</v>
      </c>
      <c r="AJ56" s="524">
        <f>'3. CEF &amp; EEF'!I21*8000</f>
        <v>233635400.70064721</v>
      </c>
      <c r="AK56" s="524">
        <f>'3. CEF &amp; EEF'!J21*8000</f>
        <v>245996505.19076639</v>
      </c>
      <c r="AL56" s="524">
        <f>'3. CEF &amp; EEF'!K21*8000</f>
        <v>252541045.7800568</v>
      </c>
      <c r="AM56" s="524">
        <f>'3. CEF &amp; EEF'!L21*8000</f>
        <v>264797263.52022156</v>
      </c>
      <c r="AN56" s="524">
        <f>'3. CEF &amp; EEF'!M21*8000</f>
        <v>235994687.7746112</v>
      </c>
      <c r="AO56" s="524">
        <f>'3. CEF &amp; EEF'!N21*8000</f>
        <v>251523917.62623039</v>
      </c>
      <c r="AP56" s="524">
        <f>'3. CEF &amp; EEF'!O21*8000</f>
        <v>258673464.0058808</v>
      </c>
      <c r="AQ56" s="524">
        <f>'3. CEF &amp; EEF'!P21*8000</f>
        <v>266453029.54962558</v>
      </c>
      <c r="AR56" s="524">
        <f>'3. CEF &amp; EEF'!Q21*8000</f>
        <v>235994687.7746112</v>
      </c>
      <c r="AS56" s="524">
        <f>'3. CEF &amp; EEF'!R21*8000</f>
        <v>251523917.62623039</v>
      </c>
      <c r="AT56" s="524">
        <f>'3. CEF &amp; EEF'!S21*8000</f>
        <v>258673464.0058808</v>
      </c>
      <c r="AU56" s="524">
        <f>'3. CEF &amp; EEF'!T21*8000</f>
        <v>266453029.54962558</v>
      </c>
      <c r="BB56" s="387"/>
      <c r="BC56" s="386"/>
    </row>
    <row r="57" spans="2:55">
      <c r="B57" s="222" t="s">
        <v>188</v>
      </c>
      <c r="C57" s="358"/>
      <c r="D57" s="358"/>
      <c r="E57" s="630">
        <f t="shared" si="28"/>
        <v>12053565.09</v>
      </c>
      <c r="F57" s="630">
        <f t="shared" si="29"/>
        <v>0</v>
      </c>
      <c r="G57" s="630">
        <f t="shared" si="37"/>
        <v>0</v>
      </c>
      <c r="H57" s="630">
        <f t="shared" si="38"/>
        <v>0</v>
      </c>
      <c r="I57" s="630">
        <f t="shared" si="39"/>
        <v>0</v>
      </c>
      <c r="J57" s="928">
        <f t="shared" si="30"/>
        <v>72396651.163334683</v>
      </c>
      <c r="K57" s="928">
        <f t="shared" si="31"/>
        <v>59716925.637246788</v>
      </c>
      <c r="L57" s="928">
        <f t="shared" si="32"/>
        <v>48706782.056897365</v>
      </c>
      <c r="M57" s="928">
        <f t="shared" si="33"/>
        <v>41052302.337846056</v>
      </c>
      <c r="N57" s="693">
        <f t="shared" si="34"/>
        <v>0</v>
      </c>
      <c r="O57" s="693">
        <f t="shared" ref="O57:P57" si="53">AO39*$AA39*$AC39</f>
        <v>0</v>
      </c>
      <c r="P57" s="693">
        <f t="shared" si="53"/>
        <v>0</v>
      </c>
      <c r="Q57" s="631">
        <f t="shared" si="52"/>
        <v>0</v>
      </c>
      <c r="R57" s="631">
        <f t="shared" si="52"/>
        <v>2051005.5833528447</v>
      </c>
      <c r="S57" s="631">
        <f t="shared" si="52"/>
        <v>4587900.6487157224</v>
      </c>
      <c r="T57" s="631">
        <f t="shared" si="52"/>
        <v>4671981.7230694611</v>
      </c>
      <c r="U57" s="632">
        <f t="shared" si="52"/>
        <v>11575949.123280445</v>
      </c>
      <c r="Z57" s="235" t="s">
        <v>688</v>
      </c>
      <c r="AA57" s="738">
        <f>AA58*0.5/0.65</f>
        <v>0.48461538461538461</v>
      </c>
      <c r="AB57" s="358" t="s">
        <v>664</v>
      </c>
      <c r="AC57" s="737">
        <v>1</v>
      </c>
      <c r="AD57" s="523" t="s">
        <v>885</v>
      </c>
      <c r="AE57" s="524">
        <f>'3. CEF &amp; EEF'!D22*8000</f>
        <v>34503790.170814559</v>
      </c>
      <c r="AF57" s="524">
        <f>'3. CEF &amp; EEF'!E22*8000</f>
        <v>13117896.51945048</v>
      </c>
      <c r="AG57" s="524">
        <f>'3. CEF &amp; EEF'!F22*8000</f>
        <v>21956048.911865361</v>
      </c>
      <c r="AH57" s="524">
        <f>'3. CEF &amp; EEF'!G22*8000</f>
        <v>34237413.668112718</v>
      </c>
      <c r="AI57" s="524">
        <f>'3. CEF &amp; EEF'!H22*8000</f>
        <v>48649504.523832239</v>
      </c>
      <c r="AJ57" s="524">
        <f>'3. CEF &amp; EEF'!I22*8000</f>
        <v>13117896.51945048</v>
      </c>
      <c r="AK57" s="524">
        <f>'3. CEF &amp; EEF'!J22*8000</f>
        <v>21956048.911865361</v>
      </c>
      <c r="AL57" s="524">
        <f>'3. CEF &amp; EEF'!K22*8000</f>
        <v>34237413.668112718</v>
      </c>
      <c r="AM57" s="524">
        <f>'3. CEF &amp; EEF'!L22*8000</f>
        <v>48649504.523832239</v>
      </c>
      <c r="AN57" s="524">
        <f>'3. CEF &amp; EEF'!M22*8000</f>
        <v>13116116.360694081</v>
      </c>
      <c r="AO57" s="524">
        <f>'3. CEF &amp; EEF'!N22*8000</f>
        <v>21945476.96786128</v>
      </c>
      <c r="AP57" s="524">
        <f>'3. CEF &amp; EEF'!O22*8000</f>
        <v>34227173.754957601</v>
      </c>
      <c r="AQ57" s="524">
        <f>'3. CEF &amp; EEF'!P22*8000</f>
        <v>48652408.585803434</v>
      </c>
      <c r="AR57" s="524">
        <f>'3. CEF &amp; EEF'!Q22*8000</f>
        <v>13116116.360694081</v>
      </c>
      <c r="AS57" s="524">
        <f>'3. CEF &amp; EEF'!R22*8000</f>
        <v>21945476.96786128</v>
      </c>
      <c r="AT57" s="524">
        <f>'3. CEF &amp; EEF'!S22*8000</f>
        <v>34227173.754957601</v>
      </c>
      <c r="AU57" s="524">
        <f>'3. CEF &amp; EEF'!T22*8000</f>
        <v>48652408.585803434</v>
      </c>
      <c r="BB57" s="387"/>
      <c r="BC57" s="386"/>
    </row>
    <row r="58" spans="2:55">
      <c r="B58" s="222" t="s">
        <v>596</v>
      </c>
      <c r="C58" s="358"/>
      <c r="D58" s="358"/>
      <c r="E58" s="630">
        <f t="shared" si="28"/>
        <v>403961180.76499999</v>
      </c>
      <c r="F58" s="630">
        <f t="shared" si="29"/>
        <v>286269540</v>
      </c>
      <c r="G58" s="630">
        <f t="shared" si="37"/>
        <v>203438742</v>
      </c>
      <c r="H58" s="630">
        <f t="shared" si="38"/>
        <v>208808160</v>
      </c>
      <c r="I58" s="630">
        <f t="shared" si="39"/>
        <v>204037403.484</v>
      </c>
      <c r="J58" s="928">
        <f t="shared" si="30"/>
        <v>286269540</v>
      </c>
      <c r="K58" s="928">
        <f t="shared" si="31"/>
        <v>203438742</v>
      </c>
      <c r="L58" s="928">
        <f t="shared" si="32"/>
        <v>208808160</v>
      </c>
      <c r="M58" s="928">
        <f t="shared" si="33"/>
        <v>204037403.484</v>
      </c>
      <c r="N58" s="693">
        <f t="shared" si="34"/>
        <v>286269540</v>
      </c>
      <c r="O58" s="693">
        <f t="shared" ref="O58:P58" si="54">AO40*$AA40*$AC40</f>
        <v>203438742</v>
      </c>
      <c r="P58" s="693">
        <f t="shared" si="54"/>
        <v>208808160</v>
      </c>
      <c r="Q58" s="631">
        <f t="shared" si="52"/>
        <v>204037403.484</v>
      </c>
      <c r="R58" s="631">
        <f t="shared" si="52"/>
        <v>286269540</v>
      </c>
      <c r="S58" s="631">
        <f t="shared" si="52"/>
        <v>203438742</v>
      </c>
      <c r="T58" s="631">
        <f t="shared" si="52"/>
        <v>208808160</v>
      </c>
      <c r="U58" s="632">
        <f t="shared" si="52"/>
        <v>204037403.484</v>
      </c>
      <c r="Z58" s="235" t="s">
        <v>625</v>
      </c>
      <c r="AA58" s="738">
        <v>0.63</v>
      </c>
      <c r="AB58" s="358" t="s">
        <v>664</v>
      </c>
      <c r="AC58" s="737">
        <v>1</v>
      </c>
      <c r="AD58" s="523" t="s">
        <v>885</v>
      </c>
      <c r="AE58" s="524">
        <f>'3. CEF &amp; EEF'!D23*8000</f>
        <v>91327938.858144805</v>
      </c>
      <c r="AF58" s="524">
        <f>'3. CEF &amp; EEF'!E23*8000</f>
        <v>108642744.61585681</v>
      </c>
      <c r="AG58" s="524">
        <f>'3. CEF &amp; EEF'!F23*8000</f>
        <v>151388918.55780321</v>
      </c>
      <c r="AH58" s="524">
        <f>'3. CEF &amp; EEF'!G23*8000</f>
        <v>193074576.7467432</v>
      </c>
      <c r="AI58" s="524">
        <f>'3. CEF &amp; EEF'!H23*8000</f>
        <v>241932476.952048</v>
      </c>
      <c r="AJ58" s="524">
        <f>'3. CEF &amp; EEF'!I23*8000</f>
        <v>108642744.61585681</v>
      </c>
      <c r="AK58" s="524">
        <f>'3. CEF &amp; EEF'!J23*8000</f>
        <v>151388918.55780321</v>
      </c>
      <c r="AL58" s="524">
        <f>'3. CEF &amp; EEF'!K23*8000</f>
        <v>193074576.7467432</v>
      </c>
      <c r="AM58" s="524">
        <f>'3. CEF &amp; EEF'!L23*8000</f>
        <v>241932476.952048</v>
      </c>
      <c r="AN58" s="524">
        <f>'3. CEF &amp; EEF'!M23*8000</f>
        <v>108632276.6006504</v>
      </c>
      <c r="AO58" s="524">
        <f>'3. CEF &amp; EEF'!N23*8000</f>
        <v>151321590.85106319</v>
      </c>
      <c r="AP58" s="524">
        <f>'3. CEF &amp; EEF'!O23*8000</f>
        <v>193060525.20510399</v>
      </c>
      <c r="AQ58" s="524">
        <f>'3. CEF &amp; EEF'!P23*8000</f>
        <v>243045666.76887119</v>
      </c>
      <c r="AR58" s="524">
        <f>'3. CEF &amp; EEF'!Q23*8000</f>
        <v>108632276.6006504</v>
      </c>
      <c r="AS58" s="524">
        <f>'3. CEF &amp; EEF'!R23*8000</f>
        <v>151321590.85106319</v>
      </c>
      <c r="AT58" s="524">
        <f>'3. CEF &amp; EEF'!S23*8000</f>
        <v>193060525.20510399</v>
      </c>
      <c r="AU58" s="524">
        <f>'3. CEF &amp; EEF'!T23*8000</f>
        <v>243045666.76887119</v>
      </c>
      <c r="BB58" s="387"/>
      <c r="BC58" s="386"/>
    </row>
    <row r="59" spans="2:55">
      <c r="B59" s="222" t="s">
        <v>926</v>
      </c>
      <c r="C59" s="358"/>
      <c r="D59" s="358"/>
      <c r="E59" s="630">
        <f t="shared" si="28"/>
        <v>511.8347</v>
      </c>
      <c r="F59" s="630">
        <f t="shared" si="29"/>
        <v>413.87488868788103</v>
      </c>
      <c r="G59" s="630">
        <f t="shared" si="37"/>
        <v>398.06999071205979</v>
      </c>
      <c r="H59" s="630">
        <f t="shared" si="38"/>
        <v>408.47464380730923</v>
      </c>
      <c r="I59" s="630">
        <f t="shared" si="39"/>
        <v>428.40592308595149</v>
      </c>
      <c r="J59" s="928">
        <f t="shared" si="30"/>
        <v>413.87488868788103</v>
      </c>
      <c r="K59" s="928">
        <f t="shared" si="31"/>
        <v>398.06999071205979</v>
      </c>
      <c r="L59" s="928">
        <f t="shared" si="32"/>
        <v>408.47464380730923</v>
      </c>
      <c r="M59" s="928">
        <f t="shared" si="33"/>
        <v>428.40592308595149</v>
      </c>
      <c r="N59" s="693">
        <f t="shared" si="34"/>
        <v>413.87488868788103</v>
      </c>
      <c r="O59" s="693">
        <f t="shared" ref="O59:P59" si="55">AO41*$AA41*$AC41</f>
        <v>398.06999071205979</v>
      </c>
      <c r="P59" s="693">
        <f t="shared" si="55"/>
        <v>408.47464380730923</v>
      </c>
      <c r="Q59" s="631">
        <f t="shared" si="52"/>
        <v>428.40592308595149</v>
      </c>
      <c r="R59" s="631">
        <f t="shared" si="52"/>
        <v>413.87488868788103</v>
      </c>
      <c r="S59" s="631">
        <f t="shared" si="52"/>
        <v>398.06999071205979</v>
      </c>
      <c r="T59" s="631">
        <f t="shared" si="52"/>
        <v>408.47464380730923</v>
      </c>
      <c r="U59" s="632">
        <f t="shared" si="52"/>
        <v>428.40592308595149</v>
      </c>
      <c r="Z59" s="725" t="s">
        <v>886</v>
      </c>
      <c r="AA59" s="738">
        <f>(8.7/100/0.45359237)*0.85</f>
        <v>0.16303184288571695</v>
      </c>
      <c r="AB59" s="358" t="s">
        <v>664</v>
      </c>
      <c r="AC59" s="737">
        <v>1</v>
      </c>
      <c r="AD59" s="523" t="s">
        <v>885</v>
      </c>
      <c r="AE59" s="524">
        <f>'3. CEF &amp; EEF'!D24*8000</f>
        <v>0</v>
      </c>
      <c r="AF59" s="524">
        <f>'3. CEF &amp; EEF'!E24*8000</f>
        <v>119914021.3318312</v>
      </c>
      <c r="AG59" s="524">
        <f>'3. CEF &amp; EEF'!F24*8000</f>
        <v>91990090.802637592</v>
      </c>
      <c r="AH59" s="524">
        <f>'3. CEF &amp; EEF'!G24*8000</f>
        <v>89901669.429938391</v>
      </c>
      <c r="AI59" s="524">
        <f>'3. CEF &amp; EEF'!H24*8000</f>
        <v>62487108.321178637</v>
      </c>
      <c r="AJ59" s="524">
        <f>'3. CEF &amp; EEF'!I24*8000</f>
        <v>119914021.3318312</v>
      </c>
      <c r="AK59" s="524">
        <f>'3. CEF &amp; EEF'!J24*8000</f>
        <v>91990090.802637592</v>
      </c>
      <c r="AL59" s="524">
        <f>'3. CEF &amp; EEF'!K24*8000</f>
        <v>89901669.429938391</v>
      </c>
      <c r="AM59" s="524">
        <f>'3. CEF &amp; EEF'!L24*8000</f>
        <v>62487108.321178637</v>
      </c>
      <c r="AN59" s="524">
        <f>'3. CEF &amp; EEF'!M24*8000</f>
        <v>119906858.5003528</v>
      </c>
      <c r="AO59" s="524">
        <f>'3. CEF &amp; EEF'!N24*8000</f>
        <v>91973030.21456641</v>
      </c>
      <c r="AP59" s="524">
        <f>'3. CEF &amp; EEF'!O24*8000</f>
        <v>89902859.921120003</v>
      </c>
      <c r="AQ59" s="524">
        <f>'3. CEF &amp; EEF'!P24*8000</f>
        <v>94271944.718263999</v>
      </c>
      <c r="AR59" s="524">
        <f>'3. CEF &amp; EEF'!Q24*8000</f>
        <v>119906858.5003528</v>
      </c>
      <c r="AS59" s="524">
        <f>'3. CEF &amp; EEF'!R24*8000</f>
        <v>91973030.21456641</v>
      </c>
      <c r="AT59" s="524">
        <f>'3. CEF &amp; EEF'!S24*8000</f>
        <v>89902859.921120003</v>
      </c>
      <c r="AU59" s="524">
        <f>'3. CEF &amp; EEF'!T24*8000</f>
        <v>94271944.718263999</v>
      </c>
      <c r="BB59" s="387"/>
      <c r="BC59" s="386"/>
    </row>
    <row r="60" spans="2:55">
      <c r="B60" s="222" t="s">
        <v>927</v>
      </c>
      <c r="C60" s="358"/>
      <c r="D60" s="358"/>
      <c r="E60" s="630">
        <f t="shared" si="28"/>
        <v>0</v>
      </c>
      <c r="F60" s="630">
        <f t="shared" si="29"/>
        <v>0</v>
      </c>
      <c r="G60" s="630">
        <f t="shared" si="37"/>
        <v>0</v>
      </c>
      <c r="H60" s="630">
        <f t="shared" si="38"/>
        <v>0</v>
      </c>
      <c r="I60" s="630">
        <f t="shared" si="39"/>
        <v>0</v>
      </c>
      <c r="J60" s="928">
        <f t="shared" si="30"/>
        <v>0</v>
      </c>
      <c r="K60" s="928">
        <f t="shared" si="31"/>
        <v>0</v>
      </c>
      <c r="L60" s="928">
        <f t="shared" si="32"/>
        <v>0</v>
      </c>
      <c r="M60" s="928">
        <f t="shared" si="33"/>
        <v>0</v>
      </c>
      <c r="N60" s="693">
        <f t="shared" si="34"/>
        <v>0</v>
      </c>
      <c r="O60" s="693">
        <f t="shared" ref="O60:P60" si="56">AO42*$AA42*$AC42</f>
        <v>0</v>
      </c>
      <c r="P60" s="693">
        <f t="shared" si="56"/>
        <v>0</v>
      </c>
      <c r="Q60" s="631">
        <f t="shared" si="52"/>
        <v>0</v>
      </c>
      <c r="R60" s="631">
        <f t="shared" si="52"/>
        <v>0</v>
      </c>
      <c r="S60" s="631">
        <f t="shared" si="52"/>
        <v>0</v>
      </c>
      <c r="T60" s="631">
        <f t="shared" si="52"/>
        <v>0</v>
      </c>
      <c r="U60" s="632">
        <f t="shared" si="52"/>
        <v>0</v>
      </c>
      <c r="Z60" s="235" t="s">
        <v>719</v>
      </c>
      <c r="AA60" s="738">
        <f>0.955*0.65</f>
        <v>0.62075000000000002</v>
      </c>
      <c r="AB60" s="358" t="s">
        <v>664</v>
      </c>
      <c r="AC60" s="737">
        <v>1</v>
      </c>
      <c r="AD60" s="523" t="s">
        <v>885</v>
      </c>
      <c r="AE60" s="524">
        <f>'3. CEF &amp; EEF'!D25*8000</f>
        <v>566371776.27786875</v>
      </c>
      <c r="AF60" s="524">
        <f>'3. CEF &amp; EEF'!E25*8000</f>
        <v>0</v>
      </c>
      <c r="AG60" s="524">
        <f>'3. CEF &amp; EEF'!F25*8000</f>
        <v>0</v>
      </c>
      <c r="AH60" s="524">
        <f>'3. CEF &amp; EEF'!G25*8000</f>
        <v>0</v>
      </c>
      <c r="AI60" s="524">
        <f>'3. CEF &amp; EEF'!H25*8000</f>
        <v>0</v>
      </c>
      <c r="AJ60" s="524">
        <f>'3. CEF &amp; EEF'!I25*8000</f>
        <v>0</v>
      </c>
      <c r="AK60" s="524">
        <f>'3. CEF &amp; EEF'!J25*8000</f>
        <v>0</v>
      </c>
      <c r="AL60" s="524">
        <f>'3. CEF &amp; EEF'!K25*8000</f>
        <v>0</v>
      </c>
      <c r="AM60" s="524">
        <f>'3. CEF &amp; EEF'!L25*8000</f>
        <v>0</v>
      </c>
      <c r="AN60" s="524">
        <f>'3. CEF &amp; EEF'!M25*8000</f>
        <v>0</v>
      </c>
      <c r="AO60" s="524">
        <f>'3. CEF &amp; EEF'!N25*8000</f>
        <v>0</v>
      </c>
      <c r="AP60" s="524">
        <f>'3. CEF &amp; EEF'!O25*8000</f>
        <v>0</v>
      </c>
      <c r="AQ60" s="524">
        <f>'3. CEF &amp; EEF'!P25*8000</f>
        <v>0</v>
      </c>
      <c r="AR60" s="524">
        <f>'3. CEF &amp; EEF'!Q25*8000</f>
        <v>0</v>
      </c>
      <c r="AS60" s="524">
        <f>'3. CEF &amp; EEF'!R25*8000</f>
        <v>0</v>
      </c>
      <c r="AT60" s="524">
        <f>'3. CEF &amp; EEF'!S25*8000</f>
        <v>0</v>
      </c>
      <c r="AU60" s="524">
        <f>'3. CEF &amp; EEF'!T25*8000</f>
        <v>0</v>
      </c>
      <c r="BB60" s="387"/>
      <c r="BC60" s="386"/>
    </row>
    <row r="61" spans="2:55">
      <c r="B61" s="222" t="s">
        <v>1040</v>
      </c>
      <c r="C61" s="358"/>
      <c r="D61" s="358"/>
      <c r="E61" s="630">
        <f t="shared" si="28"/>
        <v>0</v>
      </c>
      <c r="F61" s="630">
        <f t="shared" si="29"/>
        <v>0</v>
      </c>
      <c r="G61" s="630">
        <f t="shared" si="37"/>
        <v>0</v>
      </c>
      <c r="H61" s="630">
        <f t="shared" si="38"/>
        <v>0</v>
      </c>
      <c r="I61" s="630">
        <f t="shared" si="39"/>
        <v>0</v>
      </c>
      <c r="J61" s="928">
        <f t="shared" si="30"/>
        <v>469107.75587250676</v>
      </c>
      <c r="K61" s="928">
        <f t="shared" si="31"/>
        <v>749194.26466125378</v>
      </c>
      <c r="L61" s="928">
        <f t="shared" si="32"/>
        <v>1711029.347823356</v>
      </c>
      <c r="M61" s="928">
        <f t="shared" si="33"/>
        <v>1851239.6148205032</v>
      </c>
      <c r="N61" s="693">
        <f t="shared" si="34"/>
        <v>0</v>
      </c>
      <c r="O61" s="693">
        <f t="shared" ref="O61:P61" si="57">AO43*$AA43*$AC43</f>
        <v>0</v>
      </c>
      <c r="P61" s="693">
        <f t="shared" si="57"/>
        <v>0</v>
      </c>
      <c r="Q61" s="631">
        <f t="shared" si="52"/>
        <v>0</v>
      </c>
      <c r="R61" s="631">
        <f t="shared" si="52"/>
        <v>200406.4806637087</v>
      </c>
      <c r="S61" s="631">
        <f t="shared" si="52"/>
        <v>460882.59985432553</v>
      </c>
      <c r="T61" s="631">
        <f t="shared" si="52"/>
        <v>514115.43904019392</v>
      </c>
      <c r="U61" s="632">
        <f t="shared" si="52"/>
        <v>538504.99053586263</v>
      </c>
      <c r="Z61" s="235" t="s">
        <v>168</v>
      </c>
      <c r="AA61" s="738">
        <v>3.5000000000000003E-2</v>
      </c>
      <c r="AB61" s="358" t="s">
        <v>664</v>
      </c>
      <c r="AC61" s="737">
        <v>1</v>
      </c>
      <c r="AD61" s="523" t="s">
        <v>885</v>
      </c>
      <c r="AE61" s="524"/>
      <c r="AF61" s="524">
        <f>'3. CEF &amp; EEF'!E26*8000</f>
        <v>0</v>
      </c>
      <c r="AG61" s="524">
        <f>'3. CEF &amp; EEF'!F26*8000</f>
        <v>0</v>
      </c>
      <c r="AH61" s="524">
        <f>'3. CEF &amp; EEF'!G26*8000</f>
        <v>0</v>
      </c>
      <c r="AI61" s="524">
        <f>'3. CEF &amp; EEF'!H26*8000</f>
        <v>0</v>
      </c>
      <c r="AJ61" s="524">
        <f>'3. CEF &amp; EEF'!I26*8000</f>
        <v>4247246570.0872641</v>
      </c>
      <c r="AK61" s="524">
        <f>'3. CEF &amp; EEF'!J26*8000</f>
        <v>3657914992.5505204</v>
      </c>
      <c r="AL61" s="524">
        <f>'3. CEF &amp; EEF'!K26*8000</f>
        <v>3123267295.710568</v>
      </c>
      <c r="AM61" s="524">
        <f>'3. CEF &amp; EEF'!L26*8000</f>
        <v>2875571137.3792081</v>
      </c>
      <c r="AN61" s="524">
        <f>'3. CEF &amp; EEF'!M26*8000</f>
        <v>0</v>
      </c>
      <c r="AO61" s="524">
        <f>'3. CEF &amp; EEF'!N26*8000</f>
        <v>0</v>
      </c>
      <c r="AP61" s="524">
        <f>'3. CEF &amp; EEF'!O26*8000</f>
        <v>0</v>
      </c>
      <c r="AQ61" s="524">
        <f>'3. CEF &amp; EEF'!P26*8000</f>
        <v>0</v>
      </c>
      <c r="AR61" s="524">
        <f>'3. CEF &amp; EEF'!Q26*8000</f>
        <v>120382241.9691848</v>
      </c>
      <c r="AS61" s="524">
        <f>'3. CEF &amp; EEF'!R26*8000</f>
        <v>294461342.59121841</v>
      </c>
      <c r="AT61" s="524">
        <f>'3. CEF &amp; EEF'!S26*8000</f>
        <v>316535880.10704321</v>
      </c>
      <c r="AU61" s="524">
        <f>'3. CEF &amp; EEF'!T26*8000</f>
        <v>499946603.8822152</v>
      </c>
      <c r="AV61"/>
      <c r="BB61" s="387"/>
      <c r="BC61" s="386"/>
    </row>
    <row r="62" spans="2:55">
      <c r="B62" s="222" t="s">
        <v>1041</v>
      </c>
      <c r="C62" s="358"/>
      <c r="D62" s="358"/>
      <c r="E62" s="630">
        <f t="shared" si="28"/>
        <v>0</v>
      </c>
      <c r="F62" s="630">
        <f t="shared" si="29"/>
        <v>0</v>
      </c>
      <c r="G62" s="630">
        <f t="shared" si="37"/>
        <v>0</v>
      </c>
      <c r="H62" s="630">
        <f t="shared" si="38"/>
        <v>0</v>
      </c>
      <c r="I62" s="630">
        <f t="shared" si="39"/>
        <v>0</v>
      </c>
      <c r="J62" s="928">
        <f t="shared" si="30"/>
        <v>0</v>
      </c>
      <c r="K62" s="928">
        <f t="shared" si="31"/>
        <v>0</v>
      </c>
      <c r="L62" s="928">
        <f t="shared" si="32"/>
        <v>0</v>
      </c>
      <c r="M62" s="928">
        <f t="shared" si="33"/>
        <v>0</v>
      </c>
      <c r="N62" s="693">
        <f t="shared" si="34"/>
        <v>0</v>
      </c>
      <c r="O62" s="693">
        <f t="shared" ref="O62:P62" si="58">AO44*$AA44*$AC44</f>
        <v>0</v>
      </c>
      <c r="P62" s="693">
        <f t="shared" si="58"/>
        <v>0</v>
      </c>
      <c r="Q62" s="631">
        <f t="shared" si="52"/>
        <v>0</v>
      </c>
      <c r="R62" s="631">
        <f t="shared" si="52"/>
        <v>0</v>
      </c>
      <c r="S62" s="631">
        <f t="shared" si="52"/>
        <v>0</v>
      </c>
      <c r="T62" s="631">
        <f t="shared" si="52"/>
        <v>0</v>
      </c>
      <c r="U62" s="632">
        <f t="shared" si="52"/>
        <v>0</v>
      </c>
      <c r="Z62" s="235" t="s">
        <v>849</v>
      </c>
      <c r="AA62" s="738">
        <f>0.6*0.6</f>
        <v>0.36</v>
      </c>
      <c r="AB62" s="358" t="s">
        <v>664</v>
      </c>
      <c r="AC62" s="737">
        <v>1</v>
      </c>
      <c r="AD62" s="523" t="s">
        <v>885</v>
      </c>
      <c r="AE62" s="524">
        <v>0</v>
      </c>
      <c r="AF62" s="524">
        <f>'3. CEF &amp; EEF'!E27*8000</f>
        <v>0</v>
      </c>
      <c r="AG62" s="524">
        <f>'3. CEF &amp; EEF'!F27*8000</f>
        <v>0</v>
      </c>
      <c r="AH62" s="524">
        <f>'3. CEF &amp; EEF'!G27*8000</f>
        <v>0</v>
      </c>
      <c r="AI62" s="524">
        <f>'3. CEF &amp; EEF'!H27*8000</f>
        <v>0</v>
      </c>
      <c r="AJ62" s="524">
        <f>'3. CEF &amp; EEF'!I27*8000</f>
        <v>0</v>
      </c>
      <c r="AK62" s="524">
        <f>'3. CEF &amp; EEF'!J27*8000</f>
        <v>0</v>
      </c>
      <c r="AL62" s="524">
        <f>'3. CEF &amp; EEF'!K27*8000</f>
        <v>0</v>
      </c>
      <c r="AM62" s="524">
        <f>'3. CEF &amp; EEF'!L27*8000</f>
        <v>0</v>
      </c>
      <c r="AN62" s="524">
        <f>'3. CEF &amp; EEF'!M27*8000</f>
        <v>0</v>
      </c>
      <c r="AO62" s="524">
        <f>'3. CEF &amp; EEF'!N27*8000</f>
        <v>0</v>
      </c>
      <c r="AP62" s="524">
        <f>'3. CEF &amp; EEF'!O27*8000</f>
        <v>0</v>
      </c>
      <c r="AQ62" s="524">
        <f>'3. CEF &amp; EEF'!P27*8000</f>
        <v>0</v>
      </c>
      <c r="AR62" s="524">
        <f>'3. CEF &amp; EEF'!Q27*8000</f>
        <v>0</v>
      </c>
      <c r="AS62" s="524">
        <f>'3. CEF &amp; EEF'!R27*8000</f>
        <v>0</v>
      </c>
      <c r="AT62" s="524">
        <f>'3. CEF &amp; EEF'!S27*8000</f>
        <v>0</v>
      </c>
      <c r="AU62" s="524">
        <f>'3. CEF &amp; EEF'!T27*8000</f>
        <v>0</v>
      </c>
      <c r="BA62" s="390"/>
      <c r="BB62" s="387"/>
      <c r="BC62" s="386"/>
    </row>
    <row r="63" spans="2:55">
      <c r="B63" s="345" t="s">
        <v>660</v>
      </c>
      <c r="C63" s="436"/>
      <c r="D63" s="436"/>
      <c r="E63" s="626" t="e">
        <f t="shared" ref="E63:S63" si="59">SUM(E64:E68)</f>
        <v>#REF!</v>
      </c>
      <c r="F63" s="626">
        <f t="shared" si="59"/>
        <v>91664762.83276242</v>
      </c>
      <c r="G63" s="626">
        <f t="shared" si="59"/>
        <v>75381394.05778262</v>
      </c>
      <c r="H63" s="626">
        <f t="shared" si="59"/>
        <v>68900196.107704014</v>
      </c>
      <c r="I63" s="626">
        <f t="shared" si="59"/>
        <v>62374285.522919767</v>
      </c>
      <c r="J63" s="927">
        <f t="shared" si="59"/>
        <v>99714338.972894505</v>
      </c>
      <c r="K63" s="927">
        <f>SUM(K64:K68)</f>
        <v>83200617.205161765</v>
      </c>
      <c r="L63" s="927">
        <f>SUM(L64:L68)</f>
        <v>75770730.508747593</v>
      </c>
      <c r="M63" s="927">
        <f>SUM(M64:M68)</f>
        <v>69144513.581538424</v>
      </c>
      <c r="N63" s="692">
        <f t="shared" si="59"/>
        <v>14892248.418988172</v>
      </c>
      <c r="O63" s="692">
        <f t="shared" ref="O63:P63" si="60">SUM(O64:O68)</f>
        <v>12100357.506774975</v>
      </c>
      <c r="P63" s="692">
        <f t="shared" si="60"/>
        <v>10870795.006599158</v>
      </c>
      <c r="Q63" s="627">
        <f t="shared" si="59"/>
        <v>9793000.9870691802</v>
      </c>
      <c r="R63" s="627">
        <f t="shared" si="59"/>
        <v>14955168.549160123</v>
      </c>
      <c r="S63" s="627">
        <f t="shared" si="59"/>
        <v>9854250.2090688404</v>
      </c>
      <c r="T63" s="627">
        <f t="shared" ref="T63:U63" si="61">SUM(T64:T68)</f>
        <v>9854250.2090688404</v>
      </c>
      <c r="U63" s="628">
        <f t="shared" si="61"/>
        <v>9854250.2090688404</v>
      </c>
      <c r="Z63" s="235" t="s">
        <v>1044</v>
      </c>
      <c r="AA63" s="738">
        <v>0.89</v>
      </c>
      <c r="AB63" s="358" t="s">
        <v>664</v>
      </c>
      <c r="AC63" s="737">
        <v>1</v>
      </c>
      <c r="AD63" s="523" t="s">
        <v>885</v>
      </c>
      <c r="AE63" s="524">
        <v>0</v>
      </c>
      <c r="AF63" s="524">
        <f>'3. CEF &amp; EEF'!E28*8000</f>
        <v>0</v>
      </c>
      <c r="AG63" s="524">
        <f>'3. CEF &amp; EEF'!F28*8000</f>
        <v>0</v>
      </c>
      <c r="AH63" s="524">
        <f>'3. CEF &amp; EEF'!G28*8000</f>
        <v>0</v>
      </c>
      <c r="AI63" s="524">
        <f>'3. CEF &amp; EEF'!H28*8000</f>
        <v>0</v>
      </c>
      <c r="AJ63" s="524">
        <f>'3. CEF &amp; EEF'!I28*8000</f>
        <v>0</v>
      </c>
      <c r="AK63" s="524">
        <f>'3. CEF &amp; EEF'!J28*8000</f>
        <v>0</v>
      </c>
      <c r="AL63" s="524">
        <f>'3. CEF &amp; EEF'!K28*8000</f>
        <v>0</v>
      </c>
      <c r="AM63" s="524">
        <f>'3. CEF &amp; EEF'!L28*8000</f>
        <v>0</v>
      </c>
      <c r="AN63" s="524">
        <f>'3. CEF &amp; EEF'!M28*8000</f>
        <v>0</v>
      </c>
      <c r="AO63" s="524">
        <f>'3. CEF &amp; EEF'!N28*8000</f>
        <v>0</v>
      </c>
      <c r="AP63" s="524">
        <f>'3. CEF &amp; EEF'!O28*8000</f>
        <v>0</v>
      </c>
      <c r="AQ63" s="524">
        <f>'3. CEF &amp; EEF'!P28*8000</f>
        <v>0</v>
      </c>
      <c r="AR63" s="524">
        <f>'3. CEF &amp; EEF'!Q28*8000</f>
        <v>0</v>
      </c>
      <c r="AS63" s="524">
        <f>'3. CEF &amp; EEF'!R28*8000</f>
        <v>0</v>
      </c>
      <c r="AT63" s="524">
        <f>'3. CEF &amp; EEF'!S28*8000</f>
        <v>0</v>
      </c>
      <c r="AU63" s="524">
        <f>'3. CEF &amp; EEF'!T28*8000</f>
        <v>0</v>
      </c>
      <c r="BA63" s="390"/>
      <c r="BB63" s="387"/>
      <c r="BC63" s="386"/>
    </row>
    <row r="64" spans="2:55" ht="17.25" thickBot="1">
      <c r="B64" s="361" t="s">
        <v>613</v>
      </c>
      <c r="C64" s="358"/>
      <c r="D64" s="358"/>
      <c r="E64" s="630">
        <v>760000</v>
      </c>
      <c r="F64" s="630">
        <f>F22*0.02</f>
        <v>52759217.275238805</v>
      </c>
      <c r="G64" s="630">
        <f t="shared" ref="G64:M64" si="62">G22*0.02</f>
        <v>43387046.720023617</v>
      </c>
      <c r="H64" s="630">
        <f t="shared" si="62"/>
        <v>39656682.725345686</v>
      </c>
      <c r="I64" s="630">
        <f t="shared" si="62"/>
        <v>35900583.611342914</v>
      </c>
      <c r="J64" s="630">
        <f t="shared" si="62"/>
        <v>57392288.080490649</v>
      </c>
      <c r="K64" s="630">
        <f t="shared" si="62"/>
        <v>47887533.932419546</v>
      </c>
      <c r="L64" s="630">
        <f t="shared" si="62"/>
        <v>43611135.953168832</v>
      </c>
      <c r="M64" s="630">
        <f t="shared" si="62"/>
        <v>39797303.81340418</v>
      </c>
      <c r="N64" s="693">
        <v>760000</v>
      </c>
      <c r="O64" s="693">
        <v>760001</v>
      </c>
      <c r="P64" s="693">
        <v>760002</v>
      </c>
      <c r="Q64" s="631">
        <v>760002</v>
      </c>
      <c r="R64" s="631">
        <v>760002</v>
      </c>
      <c r="S64" s="631">
        <v>760002</v>
      </c>
      <c r="T64" s="631">
        <v>760002</v>
      </c>
      <c r="U64" s="631">
        <v>760002</v>
      </c>
      <c r="Z64" s="239" t="s">
        <v>1050</v>
      </c>
      <c r="AA64" s="739">
        <f>0.983*0.6</f>
        <v>0.58979999999999999</v>
      </c>
      <c r="AB64" s="730" t="s">
        <v>664</v>
      </c>
      <c r="AC64" s="740">
        <v>2</v>
      </c>
      <c r="AD64" s="523" t="s">
        <v>885</v>
      </c>
      <c r="AE64" s="524">
        <v>0</v>
      </c>
      <c r="AF64" s="524">
        <f>'3. CEF &amp; EEF'!E29*8000</f>
        <v>0</v>
      </c>
      <c r="AG64" s="524">
        <f>'3. CEF &amp; EEF'!F29*8000</f>
        <v>0</v>
      </c>
      <c r="AH64" s="524">
        <f>'3. CEF &amp; EEF'!G29*8000</f>
        <v>0</v>
      </c>
      <c r="AI64" s="524">
        <f>'3. CEF &amp; EEF'!H29*8000</f>
        <v>0</v>
      </c>
      <c r="AJ64" s="524">
        <f>'3. CEF &amp; EEF'!I29*8000</f>
        <v>0</v>
      </c>
      <c r="AK64" s="524">
        <f>'3. CEF &amp; EEF'!J29*8000</f>
        <v>0</v>
      </c>
      <c r="AL64" s="524">
        <f>'3. CEF &amp; EEF'!K29*8000</f>
        <v>0</v>
      </c>
      <c r="AM64" s="524">
        <f>'3. CEF &amp; EEF'!L29*8000</f>
        <v>0</v>
      </c>
      <c r="AN64" s="524">
        <f>'3. CEF &amp; EEF'!M29*8000</f>
        <v>0</v>
      </c>
      <c r="AO64" s="524">
        <f>'3. CEF &amp; EEF'!N29*8000</f>
        <v>0</v>
      </c>
      <c r="AP64" s="524">
        <f>'3. CEF &amp; EEF'!O29*8000</f>
        <v>0</v>
      </c>
      <c r="AQ64" s="524">
        <f>'3. CEF &amp; EEF'!P29*8000</f>
        <v>0</v>
      </c>
      <c r="AR64" s="524">
        <f>'3. CEF &amp; EEF'!Q29*8000</f>
        <v>0</v>
      </c>
      <c r="AS64" s="524">
        <f>'3. CEF &amp; EEF'!R29*8000</f>
        <v>0</v>
      </c>
      <c r="AT64" s="524">
        <f>'3. CEF &amp; EEF'!S29*8000</f>
        <v>0</v>
      </c>
      <c r="AU64" s="524">
        <f>'3. CEF &amp; EEF'!T29*8000</f>
        <v>0</v>
      </c>
      <c r="BA64" s="390"/>
      <c r="BB64" s="387"/>
      <c r="BC64" s="386"/>
    </row>
    <row r="65" spans="2:55">
      <c r="B65" s="361" t="s">
        <v>614</v>
      </c>
      <c r="C65" s="358"/>
      <c r="D65" s="358"/>
      <c r="E65" s="630" t="e">
        <f t="shared" ref="E65:N65" si="63">0.03*E37</f>
        <v>#REF!</v>
      </c>
      <c r="F65" s="630">
        <f t="shared" si="63"/>
        <v>9841578.3019698877</v>
      </c>
      <c r="G65" s="630">
        <f t="shared" si="63"/>
        <v>8093316.0050260713</v>
      </c>
      <c r="H65" s="630">
        <f t="shared" si="63"/>
        <v>7397462.8206062512</v>
      </c>
      <c r="I65" s="630">
        <f t="shared" si="63"/>
        <v>6696809.0685315998</v>
      </c>
      <c r="J65" s="928">
        <f t="shared" si="63"/>
        <v>10705820.257467138</v>
      </c>
      <c r="K65" s="928">
        <f t="shared" si="63"/>
        <v>8932826.1339717489</v>
      </c>
      <c r="L65" s="928">
        <f t="shared" si="63"/>
        <v>8135117.0750290947</v>
      </c>
      <c r="M65" s="928">
        <f t="shared" si="63"/>
        <v>7423693.9423042117</v>
      </c>
      <c r="N65" s="693">
        <f t="shared" si="63"/>
        <v>10347770.811079105</v>
      </c>
      <c r="O65" s="693">
        <f t="shared" ref="O65:P65" si="64">0.03*O37</f>
        <v>8248267.7250947803</v>
      </c>
      <c r="P65" s="693">
        <f t="shared" si="64"/>
        <v>7323635.6049625669</v>
      </c>
      <c r="Q65" s="631">
        <f>0.03*Q37</f>
        <v>6513134.5022760238</v>
      </c>
      <c r="R65" s="631">
        <f>0.03*R37</f>
        <v>10395084.508968411</v>
      </c>
      <c r="S65" s="631">
        <f>5.5*10^6*0.856019683318848</f>
        <v>4708108.2582536638</v>
      </c>
      <c r="T65" s="631">
        <f t="shared" ref="T65:U65" si="65">5.5*10^6*0.856019683318848</f>
        <v>4708108.2582536638</v>
      </c>
      <c r="U65" s="632">
        <f t="shared" si="65"/>
        <v>4708108.2582536638</v>
      </c>
      <c r="BA65" s="390"/>
      <c r="BB65" s="387"/>
      <c r="BC65" s="386"/>
    </row>
    <row r="66" spans="2:55" ht="17.25" thickBot="1">
      <c r="B66" s="361" t="s">
        <v>615</v>
      </c>
      <c r="C66" s="358"/>
      <c r="D66" s="358"/>
      <c r="E66" s="630">
        <f t="shared" ref="E66:S66" si="66">0.15*E64</f>
        <v>114000</v>
      </c>
      <c r="F66" s="630">
        <f t="shared" si="66"/>
        <v>7913882.5912858201</v>
      </c>
      <c r="G66" s="630">
        <f t="shared" si="66"/>
        <v>6508057.0080035422</v>
      </c>
      <c r="H66" s="630">
        <f t="shared" si="66"/>
        <v>5948502.4088018527</v>
      </c>
      <c r="I66" s="630">
        <f t="shared" si="66"/>
        <v>5385087.541701437</v>
      </c>
      <c r="J66" s="928">
        <f t="shared" si="66"/>
        <v>8608843.2120735962</v>
      </c>
      <c r="K66" s="928">
        <f>0.15*K64</f>
        <v>7183130.0898629315</v>
      </c>
      <c r="L66" s="928">
        <f>0.15*L64</f>
        <v>6541670.3929753248</v>
      </c>
      <c r="M66" s="928">
        <f>0.15*M64</f>
        <v>5969595.572010627</v>
      </c>
      <c r="N66" s="693">
        <f t="shared" si="66"/>
        <v>114000</v>
      </c>
      <c r="O66" s="693">
        <f t="shared" ref="O66:P66" si="67">0.15*O64</f>
        <v>114000.15</v>
      </c>
      <c r="P66" s="693">
        <f t="shared" si="67"/>
        <v>114000.3</v>
      </c>
      <c r="Q66" s="631">
        <f t="shared" si="66"/>
        <v>114000.3</v>
      </c>
      <c r="R66" s="631">
        <f t="shared" si="66"/>
        <v>114000.3</v>
      </c>
      <c r="S66" s="631">
        <f t="shared" si="66"/>
        <v>114000.3</v>
      </c>
      <c r="T66" s="631">
        <f t="shared" ref="T66:U66" si="68">0.15*T64</f>
        <v>114000.3</v>
      </c>
      <c r="U66" s="632">
        <f t="shared" si="68"/>
        <v>114000.3</v>
      </c>
      <c r="AA66" s="379">
        <f>I83</f>
        <v>0.56337252106168501</v>
      </c>
      <c r="AB66" s="669">
        <f>N83</f>
        <v>1.997022474660034</v>
      </c>
      <c r="AC66" s="669">
        <f>J83</f>
        <v>1.3942778387902897</v>
      </c>
      <c r="AD66" s="669">
        <f>O83</f>
        <v>1.4898575732573334</v>
      </c>
      <c r="AK66" s="563"/>
      <c r="BA66" s="390"/>
      <c r="BB66" s="387"/>
      <c r="BC66" s="386"/>
    </row>
    <row r="67" spans="2:55">
      <c r="B67" s="361" t="s">
        <v>616</v>
      </c>
      <c r="C67" s="358"/>
      <c r="D67" s="358"/>
      <c r="E67" s="630" t="e">
        <f t="shared" ref="E67:R67" si="69">0.25*(E64+E65)</f>
        <v>#REF!</v>
      </c>
      <c r="F67" s="630">
        <f t="shared" si="69"/>
        <v>15650198.894302173</v>
      </c>
      <c r="G67" s="630">
        <f t="shared" si="69"/>
        <v>12870090.681262422</v>
      </c>
      <c r="H67" s="630">
        <f t="shared" si="69"/>
        <v>11763536.386487985</v>
      </c>
      <c r="I67" s="630">
        <f t="shared" si="69"/>
        <v>10649348.169968629</v>
      </c>
      <c r="J67" s="928">
        <f t="shared" si="69"/>
        <v>17024527.084489446</v>
      </c>
      <c r="K67" s="928">
        <f>0.25*(K64+K65)</f>
        <v>14205090.016597824</v>
      </c>
      <c r="L67" s="928">
        <f>0.25*(L64+L65)</f>
        <v>12936563.257049482</v>
      </c>
      <c r="M67" s="928">
        <f>0.25*(M64+M65)</f>
        <v>11805249.438927097</v>
      </c>
      <c r="N67" s="693">
        <f t="shared" si="69"/>
        <v>2776942.7027697763</v>
      </c>
      <c r="O67" s="693">
        <f t="shared" ref="O67:P67" si="70">0.25*(O64+O65)</f>
        <v>2252067.1812736951</v>
      </c>
      <c r="P67" s="693">
        <f t="shared" si="70"/>
        <v>2020909.4012406417</v>
      </c>
      <c r="Q67" s="631">
        <f t="shared" si="69"/>
        <v>1818284.125569006</v>
      </c>
      <c r="R67" s="631">
        <f t="shared" si="69"/>
        <v>2788771.6272421028</v>
      </c>
      <c r="S67" s="631">
        <f>4.3*10^6*0.856019683318848</f>
        <v>3680884.6382710463</v>
      </c>
      <c r="T67" s="631">
        <f t="shared" ref="T67:U67" si="71">4.3*10^6*0.856019683318848</f>
        <v>3680884.6382710463</v>
      </c>
      <c r="U67" s="632">
        <f t="shared" si="71"/>
        <v>3680884.6382710463</v>
      </c>
      <c r="Z67" s="648" t="s">
        <v>1060</v>
      </c>
      <c r="AA67" s="667" t="s">
        <v>1034</v>
      </c>
      <c r="AB67" s="667" t="s">
        <v>1053</v>
      </c>
      <c r="AC67" s="667" t="s">
        <v>1033</v>
      </c>
      <c r="AD67" s="668" t="s">
        <v>1054</v>
      </c>
      <c r="AE67"/>
      <c r="AF67" s="664" t="s">
        <v>1061</v>
      </c>
      <c r="AG67" s="667" t="s">
        <v>1034</v>
      </c>
      <c r="AH67" s="667" t="s">
        <v>1053</v>
      </c>
      <c r="AI67" s="667" t="s">
        <v>1033</v>
      </c>
      <c r="AJ67" s="668" t="s">
        <v>1054</v>
      </c>
      <c r="AK67"/>
      <c r="BA67" s="390"/>
      <c r="BB67" s="387"/>
      <c r="BC67" s="386"/>
    </row>
    <row r="68" spans="2:55">
      <c r="B68" s="361" t="s">
        <v>617</v>
      </c>
      <c r="C68" s="358"/>
      <c r="D68" s="358"/>
      <c r="E68" s="633" t="e">
        <f t="shared" ref="E68:U68" si="72">SUM(E64:E67)/0.94*0.06</f>
        <v>#REF!</v>
      </c>
      <c r="F68" s="633">
        <f t="shared" si="72"/>
        <v>5499885.7699657455</v>
      </c>
      <c r="G68" s="633">
        <f t="shared" si="72"/>
        <v>4522883.6434669569</v>
      </c>
      <c r="H68" s="633">
        <f t="shared" si="72"/>
        <v>4134011.7664622418</v>
      </c>
      <c r="I68" s="633">
        <f t="shared" si="72"/>
        <v>3742457.1313751857</v>
      </c>
      <c r="J68" s="930">
        <f t="shared" si="72"/>
        <v>5982860.3383736704</v>
      </c>
      <c r="K68" s="930">
        <f>SUM(K64:K67)/0.94*0.06</f>
        <v>4992037.0323097054</v>
      </c>
      <c r="L68" s="930">
        <f>SUM(L64:L67)/0.94*0.06</f>
        <v>4546243.8305248553</v>
      </c>
      <c r="M68" s="930">
        <f>SUM(M64:M67)/0.94*0.06</f>
        <v>4148670.8148923051</v>
      </c>
      <c r="N68" s="694">
        <f t="shared" si="72"/>
        <v>893534.90513929038</v>
      </c>
      <c r="O68" s="694">
        <f t="shared" ref="O68:P68" si="73">SUM(O64:O67)/0.94*0.06</f>
        <v>726021.45040649851</v>
      </c>
      <c r="P68" s="694">
        <f t="shared" si="73"/>
        <v>652247.70039594953</v>
      </c>
      <c r="Q68" s="634">
        <f t="shared" si="72"/>
        <v>587580.05922415084</v>
      </c>
      <c r="R68" s="634">
        <f t="shared" si="72"/>
        <v>897310.11294960731</v>
      </c>
      <c r="S68" s="634">
        <f t="shared" si="72"/>
        <v>591255.01254413044</v>
      </c>
      <c r="T68" s="634">
        <f t="shared" si="72"/>
        <v>591255.01254413044</v>
      </c>
      <c r="U68" s="872">
        <f t="shared" si="72"/>
        <v>591255.01254413044</v>
      </c>
      <c r="Z68" s="641" t="s">
        <v>1059</v>
      </c>
      <c r="AA68" s="649">
        <v>-9.1276694943348072E-2</v>
      </c>
      <c r="AB68" s="649">
        <v>0.65479020104462538</v>
      </c>
      <c r="AC68" s="649">
        <v>0.52282630550217213</v>
      </c>
      <c r="AD68" s="650">
        <v>1.6903550120766337</v>
      </c>
      <c r="AE68"/>
      <c r="AF68" s="641" t="s">
        <v>1059</v>
      </c>
      <c r="AG68" s="649">
        <v>0.11407321714879563</v>
      </c>
      <c r="AH68" s="649">
        <v>0.79640670088430554</v>
      </c>
      <c r="AI68" s="649">
        <v>0.74474100225498674</v>
      </c>
      <c r="AJ68" s="650">
        <v>1.8234030866286246</v>
      </c>
      <c r="AK68"/>
      <c r="BA68" s="390"/>
      <c r="BB68" s="387"/>
      <c r="BC68" s="386"/>
    </row>
    <row r="69" spans="2:55">
      <c r="B69" s="362" t="s">
        <v>1239</v>
      </c>
      <c r="C69" s="358"/>
      <c r="D69" s="456"/>
      <c r="E69" s="422"/>
      <c r="F69" s="422">
        <f>$AA45*$AC45*AF45</f>
        <v>0</v>
      </c>
      <c r="G69" s="422">
        <f t="shared" ref="G69:U69" si="74">$AA45*$AC45*AG45</f>
        <v>0</v>
      </c>
      <c r="H69" s="422">
        <f t="shared" si="74"/>
        <v>0</v>
      </c>
      <c r="I69" s="422">
        <f t="shared" si="74"/>
        <v>0</v>
      </c>
      <c r="J69" s="422">
        <f t="shared" si="74"/>
        <v>0</v>
      </c>
      <c r="K69" s="422">
        <f t="shared" si="74"/>
        <v>0</v>
      </c>
      <c r="L69" s="422">
        <f t="shared" si="74"/>
        <v>0</v>
      </c>
      <c r="M69" s="422">
        <f t="shared" si="74"/>
        <v>0</v>
      </c>
      <c r="N69" s="422">
        <f t="shared" si="74"/>
        <v>0</v>
      </c>
      <c r="O69" s="422">
        <f t="shared" si="74"/>
        <v>0</v>
      </c>
      <c r="P69" s="422">
        <f t="shared" si="74"/>
        <v>0</v>
      </c>
      <c r="Q69" s="422">
        <f t="shared" si="74"/>
        <v>0</v>
      </c>
      <c r="R69" s="422">
        <f t="shared" si="74"/>
        <v>0</v>
      </c>
      <c r="S69" s="422">
        <f t="shared" si="74"/>
        <v>0</v>
      </c>
      <c r="T69" s="422">
        <f t="shared" si="74"/>
        <v>0</v>
      </c>
      <c r="U69" s="422">
        <f t="shared" si="74"/>
        <v>0</v>
      </c>
      <c r="Z69" s="641" t="s">
        <v>1065</v>
      </c>
      <c r="AA69" s="649">
        <v>0.20951934295914248</v>
      </c>
      <c r="AB69" s="649">
        <v>0.92371953282088437</v>
      </c>
      <c r="AC69" s="649">
        <v>0.81314820022092371</v>
      </c>
      <c r="AD69" s="650">
        <v>1.9362435956949733</v>
      </c>
      <c r="AE69"/>
      <c r="AF69" s="641" t="s">
        <v>1065</v>
      </c>
      <c r="AG69" s="649">
        <v>-0.18672282075369506</v>
      </c>
      <c r="AH69" s="649">
        <v>0.52747736910804677</v>
      </c>
      <c r="AI69" s="649">
        <v>0.45441910753623549</v>
      </c>
      <c r="AJ69" s="650">
        <v>1.5775145030102853</v>
      </c>
      <c r="AK69"/>
      <c r="BA69" s="390"/>
      <c r="BB69" s="387"/>
      <c r="BC69" s="386"/>
    </row>
    <row r="70" spans="2:55">
      <c r="B70" s="467"/>
      <c r="C70" s="472"/>
      <c r="D70" s="469"/>
      <c r="E70" s="470"/>
      <c r="F70" s="470"/>
      <c r="G70" s="470"/>
      <c r="H70" s="470"/>
      <c r="I70" s="470"/>
      <c r="J70" s="863"/>
      <c r="K70" s="863"/>
      <c r="L70" s="863"/>
      <c r="M70" s="863"/>
      <c r="N70" s="695"/>
      <c r="O70" s="695"/>
      <c r="P70" s="551"/>
      <c r="Q70" s="551"/>
      <c r="R70" s="551"/>
      <c r="S70" s="551"/>
      <c r="T70" s="551"/>
      <c r="U70" s="603"/>
      <c r="Z70" s="641" t="s">
        <v>1063</v>
      </c>
      <c r="AA70" s="649">
        <v>-3.3692490953760215E-2</v>
      </c>
      <c r="AB70" s="649">
        <v>0.72559845096446551</v>
      </c>
      <c r="AC70" s="649">
        <v>0.53240549986423369</v>
      </c>
      <c r="AD70" s="650">
        <v>1.7568790493526292</v>
      </c>
      <c r="AE70"/>
      <c r="AF70" s="641" t="s">
        <v>1063</v>
      </c>
      <c r="AG70" s="649">
        <v>5.6489013159207492E-2</v>
      </c>
      <c r="AH70" s="649">
        <v>0.72559845096446551</v>
      </c>
      <c r="AI70" s="649">
        <v>0.73516180789292573</v>
      </c>
      <c r="AJ70" s="650">
        <v>1.7568790493526292</v>
      </c>
      <c r="AK70"/>
      <c r="BA70" s="390"/>
      <c r="BB70" s="387"/>
      <c r="BC70" s="386"/>
    </row>
    <row r="71" spans="2:55">
      <c r="B71" s="464" t="s">
        <v>890</v>
      </c>
      <c r="C71" s="473"/>
      <c r="D71" s="473"/>
      <c r="E71" s="465" t="e">
        <f t="shared" ref="E71:N71" si="75">E39+E37</f>
        <v>#REF!</v>
      </c>
      <c r="F71" s="465">
        <f t="shared" si="75"/>
        <v>2305102707.1075172</v>
      </c>
      <c r="G71" s="465">
        <f t="shared" si="75"/>
        <v>1818392585.9910779</v>
      </c>
      <c r="H71" s="465">
        <f t="shared" si="75"/>
        <v>1557346652.3034012</v>
      </c>
      <c r="I71" s="465">
        <f t="shared" si="75"/>
        <v>1405367685.7430856</v>
      </c>
      <c r="J71" s="864">
        <f t="shared" si="75"/>
        <v>2492432896.5600314</v>
      </c>
      <c r="K71" s="864">
        <f t="shared" si="75"/>
        <v>1984642040.1182785</v>
      </c>
      <c r="L71" s="864">
        <f t="shared" si="75"/>
        <v>1698113164.7092237</v>
      </c>
      <c r="M71" s="864">
        <f t="shared" si="75"/>
        <v>1532794249.1814818</v>
      </c>
      <c r="N71" s="696">
        <f t="shared" si="75"/>
        <v>3049681648.3328333</v>
      </c>
      <c r="O71" s="696">
        <f t="shared" ref="O71" si="76">O39+O37</f>
        <v>2390564842.8317695</v>
      </c>
      <c r="P71" s="552">
        <f>P39+P37</f>
        <v>2009439675.7638032</v>
      </c>
      <c r="Q71" s="552">
        <f>Q39+Q37</f>
        <v>1794239549.0243387</v>
      </c>
      <c r="R71" s="552">
        <f>R39+R37</f>
        <v>3055432496.594799</v>
      </c>
      <c r="S71" s="552">
        <f>S39+S37</f>
        <v>2401217292.6192336</v>
      </c>
      <c r="T71" s="552">
        <f t="shared" ref="T71:U71" si="77">T39+T37</f>
        <v>2021990039.3169458</v>
      </c>
      <c r="U71" s="604">
        <f t="shared" si="77"/>
        <v>1820364551.4987631</v>
      </c>
      <c r="Z71" s="641" t="s">
        <v>1064</v>
      </c>
      <c r="AA71" s="649">
        <v>1.1398261102723638E-2</v>
      </c>
      <c r="AB71" s="649">
        <v>0.47269002527893028</v>
      </c>
      <c r="AC71" s="649">
        <v>0.63378365387857949</v>
      </c>
      <c r="AD71" s="650">
        <v>1.3457684152158531</v>
      </c>
      <c r="AE71"/>
      <c r="AF71" s="641" t="s">
        <v>1064</v>
      </c>
      <c r="AG71" s="649">
        <v>1.1398261102723638E-2</v>
      </c>
      <c r="AH71" s="649">
        <v>0.97850687665000013</v>
      </c>
      <c r="AI71" s="649">
        <v>0.63378365387857949</v>
      </c>
      <c r="AJ71" s="650">
        <v>2.1679896834894046</v>
      </c>
      <c r="AK71"/>
      <c r="BA71" s="390"/>
      <c r="BB71" s="387"/>
      <c r="BC71" s="386"/>
    </row>
    <row r="72" spans="2:55" ht="17.25" thickBot="1">
      <c r="B72" s="467" t="s">
        <v>622</v>
      </c>
      <c r="C72" s="468"/>
      <c r="D72" s="469" t="s">
        <v>683</v>
      </c>
      <c r="E72" s="470" t="e">
        <f>E71-SUM(E73:E82)</f>
        <v>#REF!</v>
      </c>
      <c r="F72" s="470">
        <f t="shared" ref="F72:S72" si="78">F71-SUM(F73:F82)</f>
        <v>1579935257.755096</v>
      </c>
      <c r="G72" s="470">
        <f t="shared" si="78"/>
        <v>1033189450.1657562</v>
      </c>
      <c r="H72" s="470">
        <f t="shared" si="78"/>
        <v>722600033.10812581</v>
      </c>
      <c r="I72" s="470">
        <f t="shared" si="78"/>
        <v>504233926.98633111</v>
      </c>
      <c r="J72" s="863">
        <f t="shared" si="78"/>
        <v>1618611817.2545559</v>
      </c>
      <c r="K72" s="863">
        <f>K71-SUM(K73:K82)</f>
        <v>1071411879.5536886</v>
      </c>
      <c r="L72" s="863">
        <f>L71-SUM(L73:L82)</f>
        <v>754052190.16407847</v>
      </c>
      <c r="M72" s="863">
        <f>M71-SUM(M73:M82)</f>
        <v>531015500.61645508</v>
      </c>
      <c r="N72" s="695">
        <f>N71-SUM(N73:N82)</f>
        <v>2318152749.1922259</v>
      </c>
      <c r="O72" s="695">
        <f>O71-SUM(O73:O82)</f>
        <v>1590488014.6317649</v>
      </c>
      <c r="P72" s="551">
        <f t="shared" si="78"/>
        <v>1158149148.1615164</v>
      </c>
      <c r="Q72" s="551">
        <f t="shared" si="78"/>
        <v>882750564.59684777</v>
      </c>
      <c r="R72" s="551">
        <f t="shared" si="78"/>
        <v>2319690218.9852705</v>
      </c>
      <c r="S72" s="551">
        <f t="shared" si="78"/>
        <v>1590834317.4285364</v>
      </c>
      <c r="T72" s="551">
        <f t="shared" ref="T72:U72" si="79">T71-SUM(T73:T82)</f>
        <v>1159620755.9109125</v>
      </c>
      <c r="U72" s="603">
        <f t="shared" si="79"/>
        <v>891377435.93539464</v>
      </c>
      <c r="Z72" s="647" t="s">
        <v>727</v>
      </c>
      <c r="AA72" s="651">
        <v>-2.1327409777489922E-2</v>
      </c>
      <c r="AB72" s="651">
        <v>0.69503011707720863</v>
      </c>
      <c r="AC72" s="651">
        <v>0.5939100800624395</v>
      </c>
      <c r="AD72" s="652">
        <v>1.717220596910165</v>
      </c>
      <c r="AE72"/>
      <c r="AF72" s="647" t="s">
        <v>727</v>
      </c>
      <c r="AG72" s="651">
        <v>4.5846188870534869E-2</v>
      </c>
      <c r="AH72" s="651">
        <v>0.75777550736721855</v>
      </c>
      <c r="AI72" s="651">
        <v>0.67575565792673342</v>
      </c>
      <c r="AJ72" s="652">
        <v>1.7986246108148136</v>
      </c>
      <c r="AK72"/>
      <c r="BA72" s="390"/>
      <c r="BB72" s="387"/>
      <c r="BC72" s="386"/>
    </row>
    <row r="73" spans="2:55">
      <c r="B73" s="467" t="s">
        <v>629</v>
      </c>
      <c r="C73" s="468"/>
      <c r="D73" s="469" t="s">
        <v>683</v>
      </c>
      <c r="E73" s="470">
        <f t="shared" ref="E73:E82" si="80">$AA55*$AC55*AE55</f>
        <v>0</v>
      </c>
      <c r="F73" s="470">
        <f t="shared" ref="F73:F82" si="81">$AA55*$AC55*AF55</f>
        <v>0</v>
      </c>
      <c r="G73" s="470">
        <f t="shared" ref="G73:G82" si="82">$AA55*$AC55*AG55</f>
        <v>0</v>
      </c>
      <c r="H73" s="470">
        <f t="shared" ref="H73:H82" si="83">$AA55*$AC55*AH55</f>
        <v>0</v>
      </c>
      <c r="I73" s="470">
        <f t="shared" ref="I73:I82" si="84">$AA55*$AC55*AI55</f>
        <v>0</v>
      </c>
      <c r="J73" s="863">
        <f t="shared" ref="J73:J82" si="85">$AA55*$AC55*AJ55</f>
        <v>0</v>
      </c>
      <c r="K73" s="863">
        <f t="shared" ref="K73:K82" si="86">$AA55*$AC55*AK55</f>
        <v>0</v>
      </c>
      <c r="L73" s="863">
        <f t="shared" ref="L73:L82" si="87">$AA55*$AC55*AL55</f>
        <v>0</v>
      </c>
      <c r="M73" s="863">
        <f t="shared" ref="M73:M82" si="88">$AA55*$AC55*AM55</f>
        <v>0</v>
      </c>
      <c r="N73" s="695">
        <f t="shared" ref="N73:N82" si="89">$AA55*$AC55*AN55</f>
        <v>0</v>
      </c>
      <c r="O73" s="695">
        <f t="shared" ref="O73:O82" si="90">$AA55*$AC55*AO55</f>
        <v>0</v>
      </c>
      <c r="P73" s="551">
        <f t="shared" ref="P73:P82" si="91">$AA55*$AC55*AP55</f>
        <v>0</v>
      </c>
      <c r="Q73" s="551">
        <f t="shared" ref="Q73:Q82" si="92">$AA55*$AC55*AQ55</f>
        <v>0</v>
      </c>
      <c r="R73" s="551">
        <f t="shared" ref="R73:R82" si="93">$AA55*$AC55*AR55</f>
        <v>0</v>
      </c>
      <c r="S73" s="551">
        <f t="shared" ref="S73:S82" si="94">$AA55*$AC55*AS55</f>
        <v>0</v>
      </c>
      <c r="T73" s="551">
        <f t="shared" ref="T73:T82" si="95">$AA55*$AC55*AT55</f>
        <v>0</v>
      </c>
      <c r="U73" s="603">
        <f t="shared" ref="U73:U82" si="96">$AA55*$AC55*AU55</f>
        <v>0</v>
      </c>
      <c r="BA73" s="390"/>
      <c r="BB73" s="387"/>
      <c r="BC73" s="386"/>
    </row>
    <row r="74" spans="2:55">
      <c r="B74" s="567" t="s">
        <v>1030</v>
      </c>
      <c r="C74" s="468"/>
      <c r="D74" s="469" t="s">
        <v>683</v>
      </c>
      <c r="E74" s="470">
        <f t="shared" si="80"/>
        <v>656555051.72324729</v>
      </c>
      <c r="F74" s="470">
        <f t="shared" si="81"/>
        <v>630815581.89174747</v>
      </c>
      <c r="G74" s="470">
        <f t="shared" si="82"/>
        <v>664190564.01506937</v>
      </c>
      <c r="H74" s="470">
        <f t="shared" si="83"/>
        <v>681860823.60615337</v>
      </c>
      <c r="I74" s="470">
        <f t="shared" si="84"/>
        <v>714952611.50459826</v>
      </c>
      <c r="J74" s="863">
        <f t="shared" si="85"/>
        <v>630815581.89174747</v>
      </c>
      <c r="K74" s="863">
        <f t="shared" si="86"/>
        <v>664190564.01506937</v>
      </c>
      <c r="L74" s="863">
        <f t="shared" si="87"/>
        <v>681860823.60615337</v>
      </c>
      <c r="M74" s="863">
        <f t="shared" si="88"/>
        <v>714952611.50459826</v>
      </c>
      <c r="N74" s="695">
        <f t="shared" si="89"/>
        <v>637185656.99145031</v>
      </c>
      <c r="O74" s="695">
        <f t="shared" si="90"/>
        <v>679114577.5908221</v>
      </c>
      <c r="P74" s="551">
        <f t="shared" si="91"/>
        <v>698418352.81587827</v>
      </c>
      <c r="Q74" s="551">
        <f t="shared" si="92"/>
        <v>719423179.78398907</v>
      </c>
      <c r="R74" s="551">
        <f t="shared" si="93"/>
        <v>637185656.99145031</v>
      </c>
      <c r="S74" s="551">
        <f t="shared" si="94"/>
        <v>679114577.5908221</v>
      </c>
      <c r="T74" s="551">
        <f t="shared" si="95"/>
        <v>698418352.81587827</v>
      </c>
      <c r="U74" s="603">
        <f t="shared" si="96"/>
        <v>719423179.78398907</v>
      </c>
      <c r="BA74" s="390"/>
      <c r="BB74" s="387"/>
      <c r="BC74" s="386"/>
    </row>
    <row r="75" spans="2:55">
      <c r="B75" s="467" t="s">
        <v>688</v>
      </c>
      <c r="C75" s="468"/>
      <c r="D75" s="469" t="s">
        <v>683</v>
      </c>
      <c r="E75" s="470">
        <f t="shared" si="80"/>
        <v>16721067.544317825</v>
      </c>
      <c r="F75" s="470">
        <f t="shared" si="81"/>
        <v>6357134.4671183098</v>
      </c>
      <c r="G75" s="470">
        <f t="shared" si="82"/>
        <v>10640239.088057829</v>
      </c>
      <c r="H75" s="470">
        <f t="shared" si="83"/>
        <v>16591977.393008471</v>
      </c>
      <c r="I75" s="470">
        <f t="shared" si="84"/>
        <v>23576298.346164856</v>
      </c>
      <c r="J75" s="863">
        <f t="shared" si="85"/>
        <v>6357134.4671183098</v>
      </c>
      <c r="K75" s="863">
        <f t="shared" si="86"/>
        <v>10640239.088057829</v>
      </c>
      <c r="L75" s="863">
        <f t="shared" si="87"/>
        <v>16591977.393008471</v>
      </c>
      <c r="M75" s="863">
        <f t="shared" si="88"/>
        <v>23576298.346164856</v>
      </c>
      <c r="N75" s="695">
        <f t="shared" si="89"/>
        <v>6356271.7747979006</v>
      </c>
      <c r="O75" s="695">
        <f t="shared" si="90"/>
        <v>10635115.761348158</v>
      </c>
      <c r="P75" s="551">
        <f t="shared" si="91"/>
        <v>16587014.973556375</v>
      </c>
      <c r="Q75" s="551">
        <f t="shared" si="92"/>
        <v>23577705.699273974</v>
      </c>
      <c r="R75" s="551">
        <f t="shared" si="93"/>
        <v>6356271.7747979006</v>
      </c>
      <c r="S75" s="551">
        <f t="shared" si="94"/>
        <v>10635115.761348158</v>
      </c>
      <c r="T75" s="551">
        <f t="shared" si="95"/>
        <v>16587014.973556375</v>
      </c>
      <c r="U75" s="603">
        <f t="shared" si="96"/>
        <v>23577705.699273974</v>
      </c>
      <c r="BA75" s="390"/>
      <c r="BB75" s="387"/>
      <c r="BC75" s="386"/>
    </row>
    <row r="76" spans="2:55">
      <c r="B76" s="467" t="s">
        <v>625</v>
      </c>
      <c r="C76" s="468"/>
      <c r="D76" s="469" t="s">
        <v>683</v>
      </c>
      <c r="E76" s="470">
        <f t="shared" si="80"/>
        <v>57536601.480631225</v>
      </c>
      <c r="F76" s="470">
        <f t="shared" si="81"/>
        <v>68444929.107989788</v>
      </c>
      <c r="G76" s="470">
        <f t="shared" si="82"/>
        <v>95375018.691416025</v>
      </c>
      <c r="H76" s="470">
        <f t="shared" si="83"/>
        <v>121636983.35044822</v>
      </c>
      <c r="I76" s="470">
        <f t="shared" si="84"/>
        <v>152417460.47979024</v>
      </c>
      <c r="J76" s="863">
        <f t="shared" si="85"/>
        <v>68444929.107989788</v>
      </c>
      <c r="K76" s="863">
        <f t="shared" si="86"/>
        <v>95375018.691416025</v>
      </c>
      <c r="L76" s="863">
        <f t="shared" si="87"/>
        <v>121636983.35044822</v>
      </c>
      <c r="M76" s="863">
        <f t="shared" si="88"/>
        <v>152417460.47979024</v>
      </c>
      <c r="N76" s="695">
        <f t="shared" si="89"/>
        <v>68438334.258409753</v>
      </c>
      <c r="O76" s="695">
        <f t="shared" si="90"/>
        <v>95332602.236169815</v>
      </c>
      <c r="P76" s="551">
        <f t="shared" si="91"/>
        <v>121628130.87921552</v>
      </c>
      <c r="Q76" s="551">
        <f t="shared" si="92"/>
        <v>153118770.06438884</v>
      </c>
      <c r="R76" s="551">
        <f t="shared" si="93"/>
        <v>68438334.258409753</v>
      </c>
      <c r="S76" s="551">
        <f t="shared" si="94"/>
        <v>95332602.236169815</v>
      </c>
      <c r="T76" s="551">
        <f t="shared" si="95"/>
        <v>121628130.87921552</v>
      </c>
      <c r="U76" s="603">
        <f t="shared" si="96"/>
        <v>153118770.06438884</v>
      </c>
      <c r="BA76" s="390"/>
      <c r="BB76" s="387"/>
      <c r="BC76" s="386"/>
    </row>
    <row r="77" spans="2:55">
      <c r="B77" s="467" t="s">
        <v>779</v>
      </c>
      <c r="C77" s="472"/>
      <c r="D77" s="469" t="s">
        <v>683</v>
      </c>
      <c r="E77" s="470">
        <f t="shared" si="80"/>
        <v>0</v>
      </c>
      <c r="F77" s="470">
        <f t="shared" si="81"/>
        <v>19549803.885565616</v>
      </c>
      <c r="G77" s="470">
        <f t="shared" si="82"/>
        <v>14997314.030778449</v>
      </c>
      <c r="H77" s="470">
        <f t="shared" si="83"/>
        <v>14656834.845665378</v>
      </c>
      <c r="I77" s="470">
        <f t="shared" si="84"/>
        <v>10187388.426201172</v>
      </c>
      <c r="J77" s="863">
        <f t="shared" si="85"/>
        <v>19549803.885565616</v>
      </c>
      <c r="K77" s="863">
        <f t="shared" si="86"/>
        <v>14997314.030778449</v>
      </c>
      <c r="L77" s="863">
        <f t="shared" si="87"/>
        <v>14656834.845665378</v>
      </c>
      <c r="M77" s="863">
        <f t="shared" si="88"/>
        <v>10187388.426201172</v>
      </c>
      <c r="N77" s="695">
        <f t="shared" si="89"/>
        <v>19548636.115949411</v>
      </c>
      <c r="O77" s="695">
        <f t="shared" si="90"/>
        <v>14994532.611664489</v>
      </c>
      <c r="P77" s="551">
        <f t="shared" si="91"/>
        <v>14657028.933636656</v>
      </c>
      <c r="Q77" s="551">
        <f t="shared" si="92"/>
        <v>15369328.879839011</v>
      </c>
      <c r="R77" s="551">
        <f t="shared" si="93"/>
        <v>19548636.115949411</v>
      </c>
      <c r="S77" s="551">
        <f t="shared" si="94"/>
        <v>14994532.611664489</v>
      </c>
      <c r="T77" s="551">
        <f t="shared" si="95"/>
        <v>14657028.933636656</v>
      </c>
      <c r="U77" s="603">
        <f t="shared" si="96"/>
        <v>15369328.879839011</v>
      </c>
      <c r="BA77" s="390"/>
      <c r="BB77" s="387"/>
      <c r="BC77" s="386"/>
    </row>
    <row r="78" spans="2:55">
      <c r="B78" s="467" t="s">
        <v>719</v>
      </c>
      <c r="C78" s="468"/>
      <c r="D78" s="469" t="s">
        <v>683</v>
      </c>
      <c r="E78" s="470">
        <f t="shared" si="80"/>
        <v>351575280.12448704</v>
      </c>
      <c r="F78" s="470">
        <f t="shared" si="81"/>
        <v>0</v>
      </c>
      <c r="G78" s="470">
        <f t="shared" si="82"/>
        <v>0</v>
      </c>
      <c r="H78" s="470">
        <f t="shared" si="83"/>
        <v>0</v>
      </c>
      <c r="I78" s="470">
        <f t="shared" si="84"/>
        <v>0</v>
      </c>
      <c r="J78" s="863">
        <f t="shared" si="85"/>
        <v>0</v>
      </c>
      <c r="K78" s="863">
        <f t="shared" si="86"/>
        <v>0</v>
      </c>
      <c r="L78" s="863">
        <f t="shared" si="87"/>
        <v>0</v>
      </c>
      <c r="M78" s="863">
        <f t="shared" si="88"/>
        <v>0</v>
      </c>
      <c r="N78" s="695">
        <f t="shared" si="89"/>
        <v>0</v>
      </c>
      <c r="O78" s="695">
        <f t="shared" si="90"/>
        <v>0</v>
      </c>
      <c r="P78" s="551">
        <f t="shared" si="91"/>
        <v>0</v>
      </c>
      <c r="Q78" s="551">
        <f t="shared" si="92"/>
        <v>0</v>
      </c>
      <c r="R78" s="551">
        <f t="shared" si="93"/>
        <v>0</v>
      </c>
      <c r="S78" s="551">
        <f t="shared" si="94"/>
        <v>0</v>
      </c>
      <c r="T78" s="551">
        <f t="shared" si="95"/>
        <v>0</v>
      </c>
      <c r="U78" s="603">
        <f t="shared" si="96"/>
        <v>0</v>
      </c>
      <c r="BA78" s="390"/>
      <c r="BB78" s="387"/>
      <c r="BC78" s="386"/>
    </row>
    <row r="79" spans="2:55">
      <c r="B79" s="467" t="s">
        <v>168</v>
      </c>
      <c r="C79" s="468"/>
      <c r="D79" s="469" t="s">
        <v>683</v>
      </c>
      <c r="E79" s="470">
        <f t="shared" si="80"/>
        <v>0</v>
      </c>
      <c r="F79" s="470">
        <f t="shared" si="81"/>
        <v>0</v>
      </c>
      <c r="G79" s="470">
        <f t="shared" si="82"/>
        <v>0</v>
      </c>
      <c r="H79" s="470">
        <f t="shared" si="83"/>
        <v>0</v>
      </c>
      <c r="I79" s="470">
        <f t="shared" si="84"/>
        <v>0</v>
      </c>
      <c r="J79" s="863">
        <f t="shared" si="85"/>
        <v>148653629.95305425</v>
      </c>
      <c r="K79" s="863">
        <f t="shared" si="86"/>
        <v>128027024.73926823</v>
      </c>
      <c r="L79" s="863">
        <f t="shared" si="87"/>
        <v>109314355.34986989</v>
      </c>
      <c r="M79" s="863">
        <f t="shared" si="88"/>
        <v>100644989.80827229</v>
      </c>
      <c r="N79" s="695">
        <f t="shared" si="89"/>
        <v>0</v>
      </c>
      <c r="O79" s="695">
        <f t="shared" si="90"/>
        <v>0</v>
      </c>
      <c r="P79" s="551">
        <f t="shared" si="91"/>
        <v>0</v>
      </c>
      <c r="Q79" s="551">
        <f t="shared" si="92"/>
        <v>0</v>
      </c>
      <c r="R79" s="551">
        <f t="shared" si="93"/>
        <v>4213378.4689214686</v>
      </c>
      <c r="S79" s="551">
        <f t="shared" si="94"/>
        <v>10306146.990692645</v>
      </c>
      <c r="T79" s="551">
        <f t="shared" si="95"/>
        <v>11078755.803746514</v>
      </c>
      <c r="U79" s="603">
        <f t="shared" si="96"/>
        <v>17498131.135877535</v>
      </c>
      <c r="BA79" s="390"/>
      <c r="BB79" s="387"/>
      <c r="BC79" s="386"/>
    </row>
    <row r="80" spans="2:55">
      <c r="B80" s="467" t="s">
        <v>849</v>
      </c>
      <c r="C80" s="468"/>
      <c r="D80" s="469" t="s">
        <v>683</v>
      </c>
      <c r="E80" s="470">
        <f t="shared" si="80"/>
        <v>0</v>
      </c>
      <c r="F80" s="470">
        <f t="shared" si="81"/>
        <v>0</v>
      </c>
      <c r="G80" s="470">
        <f t="shared" si="82"/>
        <v>0</v>
      </c>
      <c r="H80" s="470">
        <f t="shared" si="83"/>
        <v>0</v>
      </c>
      <c r="I80" s="470">
        <f t="shared" si="84"/>
        <v>0</v>
      </c>
      <c r="J80" s="863">
        <f t="shared" si="85"/>
        <v>0</v>
      </c>
      <c r="K80" s="863">
        <f t="shared" si="86"/>
        <v>0</v>
      </c>
      <c r="L80" s="863">
        <f t="shared" si="87"/>
        <v>0</v>
      </c>
      <c r="M80" s="863">
        <f t="shared" si="88"/>
        <v>0</v>
      </c>
      <c r="N80" s="695">
        <f t="shared" si="89"/>
        <v>0</v>
      </c>
      <c r="O80" s="695">
        <f t="shared" si="90"/>
        <v>0</v>
      </c>
      <c r="P80" s="551">
        <f t="shared" si="91"/>
        <v>0</v>
      </c>
      <c r="Q80" s="551">
        <f t="shared" si="92"/>
        <v>0</v>
      </c>
      <c r="R80" s="551">
        <f t="shared" si="93"/>
        <v>0</v>
      </c>
      <c r="S80" s="551">
        <f t="shared" si="94"/>
        <v>0</v>
      </c>
      <c r="T80" s="551">
        <f t="shared" si="95"/>
        <v>0</v>
      </c>
      <c r="U80" s="603">
        <f t="shared" si="96"/>
        <v>0</v>
      </c>
      <c r="BA80" s="390"/>
      <c r="BB80" s="387"/>
      <c r="BC80" s="386"/>
    </row>
    <row r="81" spans="2:55">
      <c r="B81" s="591" t="s">
        <v>1044</v>
      </c>
      <c r="C81" s="468"/>
      <c r="D81" s="469" t="s">
        <v>683</v>
      </c>
      <c r="E81" s="470">
        <f t="shared" si="80"/>
        <v>0</v>
      </c>
      <c r="F81" s="470">
        <f t="shared" si="81"/>
        <v>0</v>
      </c>
      <c r="G81" s="470">
        <f t="shared" si="82"/>
        <v>0</v>
      </c>
      <c r="H81" s="470">
        <f t="shared" si="83"/>
        <v>0</v>
      </c>
      <c r="I81" s="470">
        <f t="shared" si="84"/>
        <v>0</v>
      </c>
      <c r="J81" s="863">
        <f t="shared" si="85"/>
        <v>0</v>
      </c>
      <c r="K81" s="863">
        <f t="shared" si="86"/>
        <v>0</v>
      </c>
      <c r="L81" s="863">
        <f t="shared" si="87"/>
        <v>0</v>
      </c>
      <c r="M81" s="863">
        <f t="shared" si="88"/>
        <v>0</v>
      </c>
      <c r="N81" s="695">
        <f t="shared" si="89"/>
        <v>0</v>
      </c>
      <c r="O81" s="695">
        <f t="shared" si="90"/>
        <v>0</v>
      </c>
      <c r="P81" s="551">
        <f t="shared" si="91"/>
        <v>0</v>
      </c>
      <c r="Q81" s="551">
        <f t="shared" si="92"/>
        <v>0</v>
      </c>
      <c r="R81" s="551">
        <f t="shared" si="93"/>
        <v>0</v>
      </c>
      <c r="S81" s="551">
        <f t="shared" si="94"/>
        <v>0</v>
      </c>
      <c r="T81" s="551">
        <f t="shared" si="95"/>
        <v>0</v>
      </c>
      <c r="U81" s="603">
        <f t="shared" si="96"/>
        <v>0</v>
      </c>
      <c r="BA81" s="390"/>
      <c r="BB81" s="387"/>
      <c r="BC81" s="386"/>
    </row>
    <row r="82" spans="2:55">
      <c r="B82" s="591" t="s">
        <v>1050</v>
      </c>
      <c r="C82" s="468"/>
      <c r="D82" s="469" t="s">
        <v>683</v>
      </c>
      <c r="E82" s="470">
        <f t="shared" si="80"/>
        <v>0</v>
      </c>
      <c r="F82" s="470">
        <f t="shared" si="81"/>
        <v>0</v>
      </c>
      <c r="G82" s="470">
        <f t="shared" si="82"/>
        <v>0</v>
      </c>
      <c r="H82" s="470">
        <f t="shared" si="83"/>
        <v>0</v>
      </c>
      <c r="I82" s="470">
        <f t="shared" si="84"/>
        <v>0</v>
      </c>
      <c r="J82" s="863">
        <f t="shared" si="85"/>
        <v>0</v>
      </c>
      <c r="K82" s="863">
        <f t="shared" si="86"/>
        <v>0</v>
      </c>
      <c r="L82" s="863">
        <f t="shared" si="87"/>
        <v>0</v>
      </c>
      <c r="M82" s="863">
        <f t="shared" si="88"/>
        <v>0</v>
      </c>
      <c r="N82" s="695">
        <f t="shared" si="89"/>
        <v>0</v>
      </c>
      <c r="O82" s="695">
        <f t="shared" si="90"/>
        <v>0</v>
      </c>
      <c r="P82" s="551">
        <f t="shared" si="91"/>
        <v>0</v>
      </c>
      <c r="Q82" s="551">
        <f t="shared" si="92"/>
        <v>0</v>
      </c>
      <c r="R82" s="551">
        <f t="shared" si="93"/>
        <v>0</v>
      </c>
      <c r="S82" s="551">
        <f t="shared" si="94"/>
        <v>0</v>
      </c>
      <c r="T82" s="551">
        <f t="shared" si="95"/>
        <v>0</v>
      </c>
      <c r="U82" s="603">
        <f t="shared" si="96"/>
        <v>0</v>
      </c>
      <c r="AR82" s="412" t="s">
        <v>702</v>
      </c>
      <c r="BA82" s="390"/>
      <c r="BB82" s="387"/>
      <c r="BC82" s="386"/>
    </row>
    <row r="83" spans="2:55" ht="17.25" thickBot="1">
      <c r="B83" s="476" t="s">
        <v>889</v>
      </c>
      <c r="C83" s="477"/>
      <c r="D83" s="480" t="s">
        <v>664</v>
      </c>
      <c r="E83" s="503" t="e">
        <f t="shared" ref="E83:U83" si="97">E72/AE54</f>
        <v>#REF!</v>
      </c>
      <c r="F83" s="873">
        <f>F72/AF54</f>
        <v>1.3609617161623091</v>
      </c>
      <c r="G83" s="873">
        <f t="shared" si="97"/>
        <v>0.96749585756636014</v>
      </c>
      <c r="H83" s="873">
        <f t="shared" si="97"/>
        <v>0.72068959384802156</v>
      </c>
      <c r="I83" s="873">
        <f t="shared" si="97"/>
        <v>0.56337252106168501</v>
      </c>
      <c r="J83" s="873">
        <f>J72/AJ54</f>
        <v>1.3942778387902897</v>
      </c>
      <c r="K83" s="873">
        <f t="shared" si="97"/>
        <v>1.0032879788399702</v>
      </c>
      <c r="L83" s="873">
        <f t="shared" si="97"/>
        <v>0.75205859641615036</v>
      </c>
      <c r="M83" s="893">
        <f t="shared" si="97"/>
        <v>0.59329514595164234</v>
      </c>
      <c r="N83" s="873">
        <f t="shared" si="97"/>
        <v>1.997022474660034</v>
      </c>
      <c r="O83" s="873">
        <f t="shared" si="97"/>
        <v>1.4898575732573334</v>
      </c>
      <c r="P83" s="873">
        <f t="shared" si="97"/>
        <v>1.1551570492586223</v>
      </c>
      <c r="Q83" s="873">
        <f t="shared" si="97"/>
        <v>0.97129428910852256</v>
      </c>
      <c r="R83" s="873">
        <f t="shared" si="97"/>
        <v>1.9983469610347524</v>
      </c>
      <c r="S83" s="873">
        <f t="shared" si="97"/>
        <v>1.4901819654185213</v>
      </c>
      <c r="T83" s="873">
        <f t="shared" si="97"/>
        <v>1.1566248550832494</v>
      </c>
      <c r="U83" s="874">
        <f t="shared" si="97"/>
        <v>0.98078647319772938</v>
      </c>
      <c r="AR83" s="412" t="s">
        <v>699</v>
      </c>
      <c r="BB83" s="387"/>
      <c r="BC83" s="386"/>
    </row>
    <row r="84" spans="2:55" ht="17.25" thickBot="1">
      <c r="I84" s="370"/>
      <c r="J84" s="370"/>
      <c r="K84" s="370"/>
      <c r="L84" s="370"/>
      <c r="M84" s="370"/>
      <c r="N84" s="697"/>
      <c r="O84" s="697"/>
      <c r="P84" s="553"/>
      <c r="Q84" s="553"/>
      <c r="R84" s="608"/>
      <c r="S84" s="608"/>
      <c r="T84" s="515"/>
      <c r="U84" s="515"/>
      <c r="AR84" s="412" t="s">
        <v>717</v>
      </c>
      <c r="BB84" s="387"/>
      <c r="BC84" s="386"/>
    </row>
    <row r="85" spans="2:55">
      <c r="B85" s="372"/>
      <c r="C85" s="373"/>
      <c r="D85" s="373"/>
      <c r="E85" s="373"/>
      <c r="F85" s="373"/>
      <c r="G85" s="373"/>
      <c r="H85" s="373"/>
      <c r="I85" s="457"/>
      <c r="J85" s="457"/>
      <c r="K85" s="457"/>
      <c r="L85" s="457"/>
      <c r="M85" s="457"/>
      <c r="N85" s="698"/>
      <c r="O85" s="698"/>
      <c r="P85" s="554"/>
      <c r="Q85" s="554"/>
      <c r="R85" s="554"/>
      <c r="S85" s="597"/>
      <c r="T85" s="515"/>
      <c r="U85" s="515"/>
      <c r="AR85" s="412" t="s">
        <v>718</v>
      </c>
      <c r="BB85" s="387"/>
      <c r="BC85" s="386"/>
    </row>
    <row r="86" spans="2:55">
      <c r="B86" s="83" t="s">
        <v>876</v>
      </c>
      <c r="C86" s="87"/>
      <c r="D86" s="87"/>
      <c r="E86" s="430" t="e">
        <f>(E87-$D$11*E88+(1-$D$11)*E92)/(1-$D$11)</f>
        <v>#REF!</v>
      </c>
      <c r="F86" s="430">
        <f>(F87-$D$11*F88+(1-$D$11)*F92)/(1-$D$11)</f>
        <v>2415459198.5150099</v>
      </c>
      <c r="G86" s="430">
        <f t="shared" ref="G86:U86" si="98">(G87-$D$11*G88+(1-$D$11)*G92)/(1-$D$11)</f>
        <v>1909145301.7407467</v>
      </c>
      <c r="H86" s="430">
        <f t="shared" si="98"/>
        <v>1640296563.0952587</v>
      </c>
      <c r="I86" s="430">
        <f t="shared" si="98"/>
        <v>1480460961.4101706</v>
      </c>
      <c r="J86" s="430">
        <f t="shared" si="98"/>
        <v>2612480385.3877993</v>
      </c>
      <c r="K86" s="430">
        <f t="shared" si="98"/>
        <v>2084808428.0949879</v>
      </c>
      <c r="L86" s="430">
        <f t="shared" si="98"/>
        <v>1789334608.0634573</v>
      </c>
      <c r="M86" s="430">
        <f t="shared" si="98"/>
        <v>1616038297.20087</v>
      </c>
      <c r="N86" s="430">
        <f t="shared" si="98"/>
        <v>3165714224.1617517</v>
      </c>
      <c r="O86" s="430">
        <f t="shared" si="98"/>
        <v>2483055077.4670949</v>
      </c>
      <c r="P86" s="430">
        <f t="shared" si="98"/>
        <v>2091561740.4278512</v>
      </c>
      <c r="Q86" s="430">
        <f t="shared" si="98"/>
        <v>1867273228.1439168</v>
      </c>
      <c r="R86" s="430">
        <f t="shared" si="98"/>
        <v>3171995614.734551</v>
      </c>
      <c r="S86" s="430">
        <f t="shared" si="98"/>
        <v>2494812632.9723592</v>
      </c>
      <c r="T86" s="430">
        <f t="shared" si="98"/>
        <v>2105284092.2468352</v>
      </c>
      <c r="U86" s="430">
        <f t="shared" si="98"/>
        <v>1895519089.6203609</v>
      </c>
      <c r="AR86" s="412" t="s">
        <v>888</v>
      </c>
      <c r="BB86" s="387"/>
      <c r="BC86" s="386"/>
    </row>
    <row r="87" spans="2:55">
      <c r="B87" s="406" t="s">
        <v>743</v>
      </c>
      <c r="C87" s="377"/>
      <c r="D87" s="449" t="s">
        <v>683</v>
      </c>
      <c r="E87" s="432" t="e">
        <f t="shared" ref="E87:N87" si="99">E21*$D$15</f>
        <v>#REF!</v>
      </c>
      <c r="F87" s="432">
        <f>F21*$D$15</f>
        <v>328052610.06566292</v>
      </c>
      <c r="G87" s="432">
        <f t="shared" si="99"/>
        <v>269777200.16753572</v>
      </c>
      <c r="H87" s="432">
        <f t="shared" si="99"/>
        <v>246582094.02020839</v>
      </c>
      <c r="I87" s="432">
        <f t="shared" si="99"/>
        <v>223226968.95105332</v>
      </c>
      <c r="J87" s="432">
        <f t="shared" si="99"/>
        <v>356860675.24890459</v>
      </c>
      <c r="K87" s="700">
        <f t="shared" si="99"/>
        <v>297760871.13239163</v>
      </c>
      <c r="L87" s="700">
        <f t="shared" si="99"/>
        <v>271170569.16763651</v>
      </c>
      <c r="M87" s="700">
        <f t="shared" si="99"/>
        <v>247456464.74347374</v>
      </c>
      <c r="N87" s="700">
        <f t="shared" si="99"/>
        <v>344925693.70263684</v>
      </c>
      <c r="O87" s="700">
        <f t="shared" ref="O87" si="100">O21*$D$15</f>
        <v>274942257.50315934</v>
      </c>
      <c r="P87" s="556">
        <f t="shared" ref="P87:U87" si="101">P21*$D$15</f>
        <v>244121186.83208558</v>
      </c>
      <c r="Q87" s="556">
        <f t="shared" si="101"/>
        <v>217104483.40920079</v>
      </c>
      <c r="R87" s="556">
        <f t="shared" si="101"/>
        <v>346502816.96561372</v>
      </c>
      <c r="S87" s="599">
        <f t="shared" si="101"/>
        <v>278227363.89335978</v>
      </c>
      <c r="T87" s="556">
        <f t="shared" si="101"/>
        <v>247605112.46864912</v>
      </c>
      <c r="U87" s="599">
        <f t="shared" si="101"/>
        <v>223409081.55580914</v>
      </c>
      <c r="AR87" s="370" t="s">
        <v>887</v>
      </c>
      <c r="BB87" s="387"/>
      <c r="BC87" s="386"/>
    </row>
    <row r="88" spans="2:55">
      <c r="B88" s="406" t="s">
        <v>689</v>
      </c>
      <c r="C88" s="377"/>
      <c r="D88" s="449" t="s">
        <v>683</v>
      </c>
      <c r="E88" s="432" t="e">
        <f t="shared" ref="E88:N88" si="102">E21/$D$7</f>
        <v>#REF!</v>
      </c>
      <c r="F88" s="432">
        <f>F21/$D$7</f>
        <v>123104840.30889054</v>
      </c>
      <c r="G88" s="432">
        <f t="shared" si="102"/>
        <v>101236442.34672175</v>
      </c>
      <c r="H88" s="432">
        <f t="shared" si="102"/>
        <v>92532259.692473248</v>
      </c>
      <c r="I88" s="432">
        <f t="shared" si="102"/>
        <v>83768028.426466808</v>
      </c>
      <c r="J88" s="432">
        <f t="shared" si="102"/>
        <v>133915338.85447817</v>
      </c>
      <c r="K88" s="700">
        <f t="shared" si="102"/>
        <v>111737579.1756456</v>
      </c>
      <c r="L88" s="700">
        <f t="shared" si="102"/>
        <v>101759317.2240606</v>
      </c>
      <c r="M88" s="700">
        <f t="shared" si="102"/>
        <v>92860375.564609751</v>
      </c>
      <c r="N88" s="700">
        <f t="shared" si="102"/>
        <v>129436624.3060746</v>
      </c>
      <c r="O88" s="700">
        <f t="shared" ref="O88" si="103">O21/$D$7</f>
        <v>103174678.89469784</v>
      </c>
      <c r="P88" s="556">
        <f t="shared" ref="P88:U88" si="104">P21/$D$7</f>
        <v>91608781.027425528</v>
      </c>
      <c r="Q88" s="556">
        <f t="shared" si="104"/>
        <v>81470507.901413262</v>
      </c>
      <c r="R88" s="556">
        <f t="shared" si="104"/>
        <v>130028454.70607461</v>
      </c>
      <c r="S88" s="599">
        <f t="shared" si="104"/>
        <v>104407446.09469785</v>
      </c>
      <c r="T88" s="556">
        <f t="shared" si="104"/>
        <v>92916157.027425528</v>
      </c>
      <c r="U88" s="599">
        <f t="shared" si="104"/>
        <v>83836367.901413262</v>
      </c>
      <c r="BA88" s="393"/>
      <c r="BB88" s="405"/>
      <c r="BC88" s="386"/>
    </row>
    <row r="89" spans="2:55">
      <c r="B89" s="406" t="s">
        <v>690</v>
      </c>
      <c r="C89" s="377"/>
      <c r="D89" s="449" t="s">
        <v>683</v>
      </c>
      <c r="E89" s="432" t="e">
        <f>(E91-E88)*$D$11</f>
        <v>#REF!</v>
      </c>
      <c r="F89" s="432">
        <f>(F91-F88)*$D$11</f>
        <v>110356491.40749282</v>
      </c>
      <c r="G89" s="432">
        <f>(G91-G88)*$D$11</f>
        <v>90752715.749668986</v>
      </c>
      <c r="H89" s="432">
        <f>(H91-H88)*$D$11</f>
        <v>82949910.791857406</v>
      </c>
      <c r="I89" s="432">
        <f t="shared" ref="I89:S89" si="105">(I91-I88)*$D$11</f>
        <v>75093275.667085022</v>
      </c>
      <c r="J89" s="432">
        <f t="shared" si="105"/>
        <v>120047488.82776803</v>
      </c>
      <c r="K89" s="700">
        <f>(K91-K88)*$D$11</f>
        <v>100166387.97670941</v>
      </c>
      <c r="L89" s="700">
        <f>(L91-L88)*$D$11</f>
        <v>91221443.35423325</v>
      </c>
      <c r="M89" s="700">
        <f>(M91-M88)*$D$11</f>
        <v>83244048.019388258</v>
      </c>
      <c r="N89" s="700">
        <f t="shared" si="105"/>
        <v>116032575.82891819</v>
      </c>
      <c r="O89" s="700">
        <f t="shared" ref="O89" si="106">(O91-O88)*$D$11</f>
        <v>92490234.635325477</v>
      </c>
      <c r="P89" s="556">
        <f t="shared" si="105"/>
        <v>82122064.664047807</v>
      </c>
      <c r="Q89" s="556">
        <f t="shared" si="105"/>
        <v>73033679.119577929</v>
      </c>
      <c r="R89" s="556">
        <f t="shared" si="105"/>
        <v>116563118.1397519</v>
      </c>
      <c r="S89" s="599">
        <f t="shared" si="105"/>
        <v>93595340.353125587</v>
      </c>
      <c r="T89" s="556">
        <f t="shared" ref="T89:U89" si="107">(T91-T88)*$D$11</f>
        <v>83294052.92988956</v>
      </c>
      <c r="U89" s="599">
        <f t="shared" si="107"/>
        <v>75154538.121597722</v>
      </c>
      <c r="BA89" s="393"/>
      <c r="BB89" s="405"/>
      <c r="BC89" s="386"/>
    </row>
    <row r="90" spans="2:55">
      <c r="B90" s="406" t="s">
        <v>691</v>
      </c>
      <c r="C90" s="377"/>
      <c r="D90" s="449" t="s">
        <v>683</v>
      </c>
      <c r="E90" s="432" t="e">
        <f t="shared" ref="E90:S90" si="108">E91-E89</f>
        <v>#REF!</v>
      </c>
      <c r="F90" s="432">
        <f t="shared" si="108"/>
        <v>328052610.06566292</v>
      </c>
      <c r="G90" s="432">
        <f t="shared" si="108"/>
        <v>269777200.16753566</v>
      </c>
      <c r="H90" s="432">
        <f t="shared" si="108"/>
        <v>246582094.02020842</v>
      </c>
      <c r="I90" s="432">
        <f t="shared" si="108"/>
        <v>223226968.95105329</v>
      </c>
      <c r="J90" s="432">
        <f t="shared" si="108"/>
        <v>356860675.24890453</v>
      </c>
      <c r="K90" s="700">
        <f>K91-K89</f>
        <v>297760871.13239163</v>
      </c>
      <c r="L90" s="700">
        <f>L91-L89</f>
        <v>271170569.16763663</v>
      </c>
      <c r="M90" s="700">
        <f>M91-M89</f>
        <v>247456464.74347371</v>
      </c>
      <c r="N90" s="700">
        <f t="shared" si="108"/>
        <v>344925693.70263696</v>
      </c>
      <c r="O90" s="700">
        <f t="shared" ref="O90" si="109">O91-O89</f>
        <v>274942257.50315946</v>
      </c>
      <c r="P90" s="556">
        <f t="shared" si="108"/>
        <v>244121186.83208576</v>
      </c>
      <c r="Q90" s="556">
        <f t="shared" si="108"/>
        <v>217104483.40920085</v>
      </c>
      <c r="R90" s="556">
        <f t="shared" si="108"/>
        <v>346502816.96561384</v>
      </c>
      <c r="S90" s="599">
        <f t="shared" si="108"/>
        <v>278227363.89335966</v>
      </c>
      <c r="T90" s="556">
        <f t="shared" ref="T90:U90" si="110">T91-T89</f>
        <v>247605112.46864903</v>
      </c>
      <c r="U90" s="599">
        <f t="shared" si="110"/>
        <v>223409081.55580908</v>
      </c>
      <c r="BA90" s="393"/>
      <c r="BB90" s="405"/>
      <c r="BC90" s="386"/>
    </row>
    <row r="91" spans="2:55">
      <c r="B91" s="406" t="s">
        <v>692</v>
      </c>
      <c r="C91" s="377"/>
      <c r="D91" s="449" t="s">
        <v>683</v>
      </c>
      <c r="E91" s="432" t="e">
        <f t="shared" ref="E91" si="111">E86-E92</f>
        <v>#REF!</v>
      </c>
      <c r="F91" s="700">
        <f>F93-F92</f>
        <v>438409101.47315574</v>
      </c>
      <c r="G91" s="700">
        <f t="shared" ref="G91:J91" si="112">G93-G92</f>
        <v>360529915.91720462</v>
      </c>
      <c r="H91" s="700">
        <f t="shared" si="112"/>
        <v>329532004.81206584</v>
      </c>
      <c r="I91" s="700">
        <f t="shared" si="112"/>
        <v>298320244.61813831</v>
      </c>
      <c r="J91" s="700">
        <f t="shared" si="112"/>
        <v>476908164.07667255</v>
      </c>
      <c r="K91" s="700">
        <f>K86-K92</f>
        <v>397927259.10910106</v>
      </c>
      <c r="L91" s="700">
        <f>L86-L92</f>
        <v>362392012.5218699</v>
      </c>
      <c r="M91" s="700">
        <f>M93-M92</f>
        <v>330700512.76286197</v>
      </c>
      <c r="N91" s="700">
        <f t="shared" ref="N91:S91" si="113">N93-N92</f>
        <v>460958269.53155518</v>
      </c>
      <c r="O91" s="700">
        <f t="shared" si="113"/>
        <v>367432492.13848495</v>
      </c>
      <c r="P91" s="700">
        <f t="shared" si="113"/>
        <v>326243251.49613357</v>
      </c>
      <c r="Q91" s="700">
        <f t="shared" si="113"/>
        <v>290138162.52877879</v>
      </c>
      <c r="R91" s="700">
        <f t="shared" si="113"/>
        <v>463065935.10536575</v>
      </c>
      <c r="S91" s="700">
        <f t="shared" si="113"/>
        <v>371822704.24648523</v>
      </c>
      <c r="T91" s="700">
        <f>T93-T92</f>
        <v>330899165.39853859</v>
      </c>
      <c r="U91" s="700">
        <f t="shared" ref="U91" si="114">U93-U92</f>
        <v>298563619.67740679</v>
      </c>
      <c r="V91" s="370"/>
      <c r="W91" s="370"/>
      <c r="X91" s="370"/>
      <c r="BA91" s="393"/>
      <c r="BB91" s="405"/>
      <c r="BC91" s="386"/>
    </row>
    <row r="92" spans="2:55">
      <c r="B92" s="406" t="s">
        <v>875</v>
      </c>
      <c r="C92" s="377"/>
      <c r="D92" s="449" t="s">
        <v>683</v>
      </c>
      <c r="E92" s="432" t="e">
        <f t="shared" ref="E92:N92" si="115">E39</f>
        <v>#REF!</v>
      </c>
      <c r="F92" s="432">
        <f t="shared" si="115"/>
        <v>1977050097.0418541</v>
      </c>
      <c r="G92" s="432">
        <f t="shared" si="115"/>
        <v>1548615385.8235421</v>
      </c>
      <c r="H92" s="432">
        <f t="shared" si="115"/>
        <v>1310764558.2831929</v>
      </c>
      <c r="I92" s="432">
        <f t="shared" si="115"/>
        <v>1182140716.7920322</v>
      </c>
      <c r="J92" s="432">
        <f t="shared" si="115"/>
        <v>2135572221.3111267</v>
      </c>
      <c r="K92" s="700">
        <f t="shared" si="115"/>
        <v>1686881168.9858868</v>
      </c>
      <c r="L92" s="700">
        <f t="shared" si="115"/>
        <v>1426942595.5415874</v>
      </c>
      <c r="M92" s="700">
        <f t="shared" si="115"/>
        <v>1285337784.4380081</v>
      </c>
      <c r="N92" s="700">
        <f t="shared" si="115"/>
        <v>2704755954.6301966</v>
      </c>
      <c r="O92" s="700">
        <f t="shared" ref="O92" si="116">O39</f>
        <v>2115622585.3286099</v>
      </c>
      <c r="P92" s="556">
        <f t="shared" ref="P92:U92" si="117">P39</f>
        <v>1765318488.9317176</v>
      </c>
      <c r="Q92" s="556">
        <f t="shared" si="117"/>
        <v>1577135065.6151381</v>
      </c>
      <c r="R92" s="556">
        <f t="shared" si="117"/>
        <v>2708929679.6291852</v>
      </c>
      <c r="S92" s="599">
        <f t="shared" si="117"/>
        <v>2122989928.7258739</v>
      </c>
      <c r="T92" s="556">
        <f t="shared" si="117"/>
        <v>1774384926.8482966</v>
      </c>
      <c r="U92" s="599">
        <f t="shared" si="117"/>
        <v>1596955469.9429541</v>
      </c>
      <c r="V92" s="370"/>
      <c r="W92" s="370"/>
      <c r="X92" s="370"/>
      <c r="AH92" s="379">
        <f>F83</f>
        <v>1.3609617161623091</v>
      </c>
      <c r="AI92" s="379">
        <f>G83</f>
        <v>0.96749585756636014</v>
      </c>
      <c r="AJ92" s="379">
        <f>H83</f>
        <v>0.72068959384802156</v>
      </c>
      <c r="AK92" s="379">
        <f>I83</f>
        <v>0.56337252106168501</v>
      </c>
      <c r="AL92" s="379"/>
      <c r="AM92" s="379">
        <f>N83</f>
        <v>1.997022474660034</v>
      </c>
      <c r="AN92" s="379"/>
      <c r="AO92" s="379">
        <f>P83</f>
        <v>1.1551570492586223</v>
      </c>
      <c r="AP92" s="379">
        <f>Q83</f>
        <v>0.97129428910852256</v>
      </c>
      <c r="AQ92" s="379">
        <f>R83</f>
        <v>1.9983469610347524</v>
      </c>
      <c r="AR92" s="379">
        <f>S83</f>
        <v>1.4901819654185213</v>
      </c>
      <c r="BA92" s="393"/>
      <c r="BB92" s="405"/>
      <c r="BC92" s="386"/>
    </row>
    <row r="93" spans="2:55">
      <c r="B93" s="83" t="s">
        <v>701</v>
      </c>
      <c r="C93" s="87"/>
      <c r="D93" s="87"/>
      <c r="E93" s="430" t="e">
        <f t="shared" ref="E93:S93" si="118">E86</f>
        <v>#REF!</v>
      </c>
      <c r="F93" s="430">
        <f t="shared" si="118"/>
        <v>2415459198.5150099</v>
      </c>
      <c r="G93" s="430">
        <f t="shared" si="118"/>
        <v>1909145301.7407467</v>
      </c>
      <c r="H93" s="430">
        <f t="shared" si="118"/>
        <v>1640296563.0952587</v>
      </c>
      <c r="I93" s="430">
        <f t="shared" si="118"/>
        <v>1480460961.4101706</v>
      </c>
      <c r="J93" s="430">
        <f t="shared" si="118"/>
        <v>2612480385.3877993</v>
      </c>
      <c r="K93" s="699">
        <f>K86</f>
        <v>2084808428.0949879</v>
      </c>
      <c r="L93" s="699">
        <f>L86</f>
        <v>1789334608.0634573</v>
      </c>
      <c r="M93" s="699">
        <f>M86</f>
        <v>1616038297.20087</v>
      </c>
      <c r="N93" s="699">
        <f t="shared" si="118"/>
        <v>3165714224.1617517</v>
      </c>
      <c r="O93" s="699">
        <f t="shared" ref="O93" si="119">O86</f>
        <v>2483055077.4670949</v>
      </c>
      <c r="P93" s="555">
        <f t="shared" si="118"/>
        <v>2091561740.4278512</v>
      </c>
      <c r="Q93" s="555">
        <f t="shared" si="118"/>
        <v>1867273228.1439168</v>
      </c>
      <c r="R93" s="555">
        <f t="shared" si="118"/>
        <v>3171995614.734551</v>
      </c>
      <c r="S93" s="598">
        <f t="shared" si="118"/>
        <v>2494812632.9723592</v>
      </c>
      <c r="T93" s="555">
        <f t="shared" ref="T93:U93" si="120">T86</f>
        <v>2105284092.2468352</v>
      </c>
      <c r="U93" s="598">
        <f t="shared" si="120"/>
        <v>1895519089.6203609</v>
      </c>
      <c r="V93" s="370"/>
      <c r="W93" s="370"/>
      <c r="X93" s="370"/>
      <c r="AG93" s="619" t="s">
        <v>1056</v>
      </c>
      <c r="AH93" s="370" t="s">
        <v>1037</v>
      </c>
      <c r="AI93" s="370" t="s">
        <v>1036</v>
      </c>
      <c r="AJ93" s="370" t="s">
        <v>1035</v>
      </c>
      <c r="AK93" s="370" t="s">
        <v>1034</v>
      </c>
      <c r="AM93" s="573" t="s">
        <v>1053</v>
      </c>
      <c r="AO93" s="370" t="s">
        <v>923</v>
      </c>
      <c r="AP93" s="370" t="s">
        <v>925</v>
      </c>
      <c r="AQ93" s="370" t="s">
        <v>1038</v>
      </c>
      <c r="AR93" s="370" t="s">
        <v>1046</v>
      </c>
      <c r="BA93" s="393"/>
      <c r="BB93" s="405"/>
      <c r="BC93" s="386"/>
    </row>
    <row r="94" spans="2:55">
      <c r="B94" s="406" t="s">
        <v>622</v>
      </c>
      <c r="C94" s="366"/>
      <c r="D94" s="449" t="s">
        <v>683</v>
      </c>
      <c r="E94" s="432" t="e">
        <f t="shared" ref="E94" si="121">E93-SUM(E95:E99)</f>
        <v>#REF!</v>
      </c>
      <c r="F94" s="432">
        <f>F93-SUM(F95:F100)</f>
        <v>1690291749.1625886</v>
      </c>
      <c r="G94" s="432">
        <f t="shared" ref="G94:S94" si="122">G93-SUM(G95:G100)</f>
        <v>1123942165.9154251</v>
      </c>
      <c r="H94" s="432">
        <f t="shared" si="122"/>
        <v>805549943.89998329</v>
      </c>
      <c r="I94" s="432">
        <f t="shared" si="122"/>
        <v>579327202.65341604</v>
      </c>
      <c r="J94" s="432">
        <f t="shared" si="122"/>
        <v>1738659306.0823238</v>
      </c>
      <c r="K94" s="432">
        <f t="shared" si="122"/>
        <v>1171578267.5303979</v>
      </c>
      <c r="L94" s="432">
        <f t="shared" si="122"/>
        <v>845273633.51831198</v>
      </c>
      <c r="M94" s="432">
        <f t="shared" si="122"/>
        <v>614259548.63584328</v>
      </c>
      <c r="N94" s="432">
        <f t="shared" si="122"/>
        <v>2434185325.0211444</v>
      </c>
      <c r="O94" s="432">
        <f t="shared" si="122"/>
        <v>1682978249.2670903</v>
      </c>
      <c r="P94" s="432">
        <f t="shared" si="122"/>
        <v>1240271212.8255644</v>
      </c>
      <c r="Q94" s="432">
        <f t="shared" si="122"/>
        <v>955784243.7164259</v>
      </c>
      <c r="R94" s="432">
        <f t="shared" si="122"/>
        <v>2436253337.1250219</v>
      </c>
      <c r="S94" s="432">
        <f t="shared" si="122"/>
        <v>1684429657.781662</v>
      </c>
      <c r="T94" s="556">
        <f t="shared" ref="T94:U94" si="123">T93-SUM(T95:T99)</f>
        <v>1952411917.4604266</v>
      </c>
      <c r="U94" s="599">
        <f t="shared" si="123"/>
        <v>1703453284.9768591</v>
      </c>
      <c r="V94" s="370"/>
      <c r="W94" s="370"/>
      <c r="X94" s="370"/>
      <c r="AG94" s="370">
        <v>2</v>
      </c>
      <c r="AH94" s="596">
        <v>1.1198933583203121</v>
      </c>
      <c r="AI94" s="596">
        <v>0.7432643367167785</v>
      </c>
      <c r="AJ94" s="596">
        <v>0.49642908645570372</v>
      </c>
      <c r="AK94" s="596">
        <v>0.32426081736665957</v>
      </c>
      <c r="AL94" s="596"/>
      <c r="AM94" s="596">
        <v>0.58809619194581564</v>
      </c>
      <c r="AN94" s="596"/>
      <c r="AO94" s="596">
        <v>0.20731209375604584</v>
      </c>
      <c r="AP94" s="596">
        <v>0.42350103259569943</v>
      </c>
      <c r="AQ94" s="596">
        <v>3.779283016490445</v>
      </c>
      <c r="AR94" s="596">
        <v>0.92114647541509476</v>
      </c>
      <c r="BA94" s="393"/>
      <c r="BB94" s="405"/>
      <c r="BC94" s="386"/>
    </row>
    <row r="95" spans="2:55">
      <c r="B95" s="406" t="s">
        <v>1030</v>
      </c>
      <c r="C95" s="366"/>
      <c r="D95" s="449" t="s">
        <v>683</v>
      </c>
      <c r="E95" s="432">
        <f>$AA55*$AC55*AE56</f>
        <v>346271997.64959407</v>
      </c>
      <c r="F95" s="432">
        <f t="shared" ref="F95:O100" si="124">$AA56*$AC56*AF56</f>
        <v>630815581.89174747</v>
      </c>
      <c r="G95" s="432">
        <f t="shared" si="124"/>
        <v>664190564.01506937</v>
      </c>
      <c r="H95" s="432">
        <f t="shared" si="124"/>
        <v>681860823.60615337</v>
      </c>
      <c r="I95" s="432">
        <f t="shared" si="124"/>
        <v>714952611.50459826</v>
      </c>
      <c r="J95" s="432">
        <f t="shared" si="124"/>
        <v>630815581.89174747</v>
      </c>
      <c r="K95" s="432">
        <f t="shared" si="124"/>
        <v>664190564.01506937</v>
      </c>
      <c r="L95" s="432">
        <f t="shared" si="124"/>
        <v>681860823.60615337</v>
      </c>
      <c r="M95" s="432">
        <f t="shared" si="124"/>
        <v>714952611.50459826</v>
      </c>
      <c r="N95" s="432">
        <f t="shared" si="124"/>
        <v>637185656.99145031</v>
      </c>
      <c r="O95" s="432">
        <f t="shared" si="124"/>
        <v>679114577.5908221</v>
      </c>
      <c r="P95" s="432">
        <f t="shared" ref="P95" si="125">$AA56*$AC56*AP56</f>
        <v>698418352.81587827</v>
      </c>
      <c r="Q95" s="432">
        <f t="shared" ref="Q95" si="126">$AA56*$AC56*AQ56</f>
        <v>719423179.78398907</v>
      </c>
      <c r="R95" s="432">
        <f t="shared" ref="R95" si="127">$AA56*$AC56*AR56</f>
        <v>637185656.99145031</v>
      </c>
      <c r="S95" s="432">
        <f t="shared" ref="S95" si="128">$AA56*$AC56*AS56</f>
        <v>679114577.5908221</v>
      </c>
      <c r="T95" s="556">
        <f t="shared" ref="T95:U95" si="129">$AA55*$AC55*AT55</f>
        <v>0</v>
      </c>
      <c r="U95" s="599">
        <f t="shared" si="129"/>
        <v>0</v>
      </c>
      <c r="V95" s="370"/>
      <c r="W95" s="370"/>
      <c r="X95" s="370"/>
      <c r="AG95" s="370">
        <v>2.5</v>
      </c>
      <c r="AH95" s="596">
        <v>1.1991562153548323</v>
      </c>
      <c r="AI95" s="596">
        <v>0.81957538536814256</v>
      </c>
      <c r="AJ95" s="596">
        <v>0.57168748954746773</v>
      </c>
      <c r="AK95" s="596">
        <v>0.40426710215490624</v>
      </c>
      <c r="AL95" s="596"/>
      <c r="AM95" s="596">
        <v>0.64223093959095334</v>
      </c>
      <c r="AN95" s="596"/>
      <c r="AO95" s="596">
        <v>0.26486519701697964</v>
      </c>
      <c r="AP95" s="596">
        <v>0.45111556293962757</v>
      </c>
      <c r="AQ95" s="596">
        <v>3.779283016490445</v>
      </c>
      <c r="AR95" s="596">
        <v>0.92114647541509476</v>
      </c>
      <c r="BA95" s="393"/>
      <c r="BB95" s="405"/>
      <c r="BC95" s="386"/>
    </row>
    <row r="96" spans="2:55">
      <c r="B96" s="406" t="s">
        <v>688</v>
      </c>
      <c r="C96" s="366"/>
      <c r="D96" s="449" t="s">
        <v>683</v>
      </c>
      <c r="E96" s="432">
        <f>$AA57*$AC57*AE57</f>
        <v>16721067.544317825</v>
      </c>
      <c r="F96" s="432">
        <f t="shared" si="124"/>
        <v>6357134.4671183098</v>
      </c>
      <c r="G96" s="432">
        <f t="shared" si="124"/>
        <v>10640239.088057829</v>
      </c>
      <c r="H96" s="432">
        <f t="shared" si="124"/>
        <v>16591977.393008471</v>
      </c>
      <c r="I96" s="432">
        <f t="shared" si="124"/>
        <v>23576298.346164856</v>
      </c>
      <c r="J96" s="432">
        <f t="shared" si="124"/>
        <v>6357134.4671183098</v>
      </c>
      <c r="K96" s="700">
        <f t="shared" si="124"/>
        <v>10640239.088057829</v>
      </c>
      <c r="L96" s="700">
        <f t="shared" si="124"/>
        <v>16591977.393008471</v>
      </c>
      <c r="M96" s="700">
        <f t="shared" si="124"/>
        <v>23576298.346164856</v>
      </c>
      <c r="N96" s="700">
        <f t="shared" si="124"/>
        <v>6356271.7747979006</v>
      </c>
      <c r="O96" s="700">
        <f t="shared" si="124"/>
        <v>10635115.761348158</v>
      </c>
      <c r="P96" s="556">
        <f t="shared" ref="P96:U100" si="130">$AA57*$AC57*AP57</f>
        <v>16587014.973556375</v>
      </c>
      <c r="Q96" s="556">
        <f t="shared" si="130"/>
        <v>23577705.699273974</v>
      </c>
      <c r="R96" s="556">
        <f t="shared" si="130"/>
        <v>6356271.7747979006</v>
      </c>
      <c r="S96" s="599">
        <f t="shared" si="130"/>
        <v>10635115.761348158</v>
      </c>
      <c r="T96" s="556">
        <f t="shared" si="130"/>
        <v>16587014.973556375</v>
      </c>
      <c r="U96" s="599">
        <f t="shared" si="130"/>
        <v>23577705.699273974</v>
      </c>
      <c r="V96" s="370"/>
      <c r="W96" s="370"/>
      <c r="X96" s="370"/>
      <c r="AG96" s="370">
        <v>3</v>
      </c>
      <c r="AH96" s="596">
        <v>1.2784190723893527</v>
      </c>
      <c r="AI96" s="596">
        <v>0.89588643401950696</v>
      </c>
      <c r="AJ96" s="596">
        <v>0.6469458926392323</v>
      </c>
      <c r="AK96" s="596">
        <v>0.48427338694315286</v>
      </c>
      <c r="AL96" s="596"/>
      <c r="AM96" s="596">
        <v>0.69636568723609116</v>
      </c>
      <c r="AN96" s="596"/>
      <c r="AO96" s="596">
        <v>0.32241830027791329</v>
      </c>
      <c r="AP96" s="596">
        <v>0.47873009328355576</v>
      </c>
      <c r="AQ96" s="596">
        <v>3.779283016490445</v>
      </c>
      <c r="AR96" s="596">
        <v>0.92114647541509476</v>
      </c>
      <c r="BA96" s="393"/>
      <c r="BB96" s="405"/>
      <c r="BC96" s="386"/>
    </row>
    <row r="97" spans="2:55">
      <c r="B97" s="406" t="s">
        <v>625</v>
      </c>
      <c r="C97" s="366"/>
      <c r="D97" s="449" t="s">
        <v>683</v>
      </c>
      <c r="E97" s="432">
        <f>$AA58*$AC58*AE58</f>
        <v>57536601.480631225</v>
      </c>
      <c r="F97" s="432">
        <f t="shared" si="124"/>
        <v>68444929.107989788</v>
      </c>
      <c r="G97" s="432">
        <f t="shared" si="124"/>
        <v>95375018.691416025</v>
      </c>
      <c r="H97" s="432">
        <f t="shared" si="124"/>
        <v>121636983.35044822</v>
      </c>
      <c r="I97" s="432">
        <f t="shared" si="124"/>
        <v>152417460.47979024</v>
      </c>
      <c r="J97" s="432">
        <f t="shared" si="124"/>
        <v>68444929.107989788</v>
      </c>
      <c r="K97" s="700">
        <f t="shared" si="124"/>
        <v>95375018.691416025</v>
      </c>
      <c r="L97" s="700">
        <f t="shared" si="124"/>
        <v>121636983.35044822</v>
      </c>
      <c r="M97" s="700">
        <f t="shared" si="124"/>
        <v>152417460.47979024</v>
      </c>
      <c r="N97" s="700">
        <f t="shared" si="124"/>
        <v>68438334.258409753</v>
      </c>
      <c r="O97" s="700">
        <f t="shared" si="124"/>
        <v>95332602.236169815</v>
      </c>
      <c r="P97" s="556">
        <f t="shared" si="130"/>
        <v>121628130.87921552</v>
      </c>
      <c r="Q97" s="556">
        <f t="shared" si="130"/>
        <v>153118770.06438884</v>
      </c>
      <c r="R97" s="556">
        <f t="shared" si="130"/>
        <v>68438334.258409753</v>
      </c>
      <c r="S97" s="599">
        <f t="shared" si="130"/>
        <v>95332602.236169815</v>
      </c>
      <c r="T97" s="556">
        <f t="shared" si="130"/>
        <v>121628130.87921552</v>
      </c>
      <c r="U97" s="599">
        <f t="shared" si="130"/>
        <v>153118770.06438884</v>
      </c>
      <c r="V97" s="370"/>
      <c r="W97" s="370"/>
      <c r="X97" s="370"/>
      <c r="AG97" s="370">
        <v>3.5</v>
      </c>
      <c r="AH97" s="596">
        <v>1.3576819294238733</v>
      </c>
      <c r="AI97" s="596">
        <v>0.97219748267087103</v>
      </c>
      <c r="AJ97" s="596">
        <v>0.72220429573099632</v>
      </c>
      <c r="AK97" s="596">
        <v>0.56427967173139948</v>
      </c>
      <c r="AL97" s="596"/>
      <c r="AM97" s="596">
        <v>0.75050043488122853</v>
      </c>
      <c r="AN97" s="596"/>
      <c r="AO97" s="596">
        <v>0.37997140353884712</v>
      </c>
      <c r="AP97" s="596">
        <v>0.50634462362748389</v>
      </c>
      <c r="AQ97" s="596">
        <v>3.779283016490445</v>
      </c>
      <c r="AR97" s="596">
        <v>0.92114647541509476</v>
      </c>
      <c r="BA97" s="393"/>
      <c r="BB97" s="405"/>
      <c r="BC97" s="386"/>
    </row>
    <row r="98" spans="2:55">
      <c r="B98" s="406" t="s">
        <v>779</v>
      </c>
      <c r="C98" s="377"/>
      <c r="D98" s="449" t="s">
        <v>683</v>
      </c>
      <c r="E98" s="432">
        <f>$AA59*$AC59*AE59</f>
        <v>0</v>
      </c>
      <c r="F98" s="432">
        <f t="shared" si="124"/>
        <v>19549803.885565616</v>
      </c>
      <c r="G98" s="432">
        <f t="shared" si="124"/>
        <v>14997314.030778449</v>
      </c>
      <c r="H98" s="432">
        <f t="shared" si="124"/>
        <v>14656834.845665378</v>
      </c>
      <c r="I98" s="432">
        <f t="shared" si="124"/>
        <v>10187388.426201172</v>
      </c>
      <c r="J98" s="432">
        <f t="shared" si="124"/>
        <v>19549803.885565616</v>
      </c>
      <c r="K98" s="700">
        <f t="shared" si="124"/>
        <v>14997314.030778449</v>
      </c>
      <c r="L98" s="700">
        <f t="shared" si="124"/>
        <v>14656834.845665378</v>
      </c>
      <c r="M98" s="700">
        <f t="shared" si="124"/>
        <v>10187388.426201172</v>
      </c>
      <c r="N98" s="700">
        <f t="shared" si="124"/>
        <v>19548636.115949411</v>
      </c>
      <c r="O98" s="700">
        <f t="shared" si="124"/>
        <v>14994532.611664489</v>
      </c>
      <c r="P98" s="556">
        <f t="shared" si="130"/>
        <v>14657028.933636656</v>
      </c>
      <c r="Q98" s="556">
        <f t="shared" si="130"/>
        <v>15369328.879839011</v>
      </c>
      <c r="R98" s="556">
        <f t="shared" si="130"/>
        <v>19548636.115949411</v>
      </c>
      <c r="S98" s="599">
        <f t="shared" si="130"/>
        <v>14994532.611664489</v>
      </c>
      <c r="T98" s="556">
        <f t="shared" si="130"/>
        <v>14657028.933636656</v>
      </c>
      <c r="U98" s="599">
        <f t="shared" si="130"/>
        <v>15369328.879839011</v>
      </c>
      <c r="V98" s="370"/>
      <c r="W98" s="370"/>
      <c r="X98" s="370"/>
      <c r="AG98" s="370">
        <v>4</v>
      </c>
      <c r="AH98" s="596">
        <v>1.436944786458394</v>
      </c>
      <c r="AI98" s="596">
        <v>1.0485085313222353</v>
      </c>
      <c r="AJ98" s="596">
        <v>0.79746269882276077</v>
      </c>
      <c r="AK98" s="596">
        <v>0.64428595651964615</v>
      </c>
      <c r="AL98" s="596"/>
      <c r="AM98" s="596">
        <v>0.80463518252636634</v>
      </c>
      <c r="AN98" s="596"/>
      <c r="AO98" s="596">
        <v>0.43752450679978061</v>
      </c>
      <c r="AP98" s="596">
        <v>0.53395915397141192</v>
      </c>
      <c r="AQ98" s="596">
        <v>3.779283016490445</v>
      </c>
      <c r="AR98" s="596">
        <v>0.92114647541509476</v>
      </c>
      <c r="BB98" s="386"/>
      <c r="BC98" s="386"/>
    </row>
    <row r="99" spans="2:55">
      <c r="B99" s="406" t="s">
        <v>719</v>
      </c>
      <c r="C99" s="366"/>
      <c r="D99" s="449" t="s">
        <v>683</v>
      </c>
      <c r="E99" s="432">
        <f>$AA60*$AC60*AE60</f>
        <v>351575280.12448704</v>
      </c>
      <c r="F99" s="432">
        <f t="shared" si="124"/>
        <v>0</v>
      </c>
      <c r="G99" s="432">
        <f t="shared" si="124"/>
        <v>0</v>
      </c>
      <c r="H99" s="432">
        <f t="shared" si="124"/>
        <v>0</v>
      </c>
      <c r="I99" s="432">
        <f t="shared" si="124"/>
        <v>0</v>
      </c>
      <c r="J99" s="432">
        <f t="shared" si="124"/>
        <v>0</v>
      </c>
      <c r="K99" s="700">
        <f t="shared" si="124"/>
        <v>0</v>
      </c>
      <c r="L99" s="700">
        <f t="shared" si="124"/>
        <v>0</v>
      </c>
      <c r="M99" s="700">
        <f t="shared" si="124"/>
        <v>0</v>
      </c>
      <c r="N99" s="700">
        <f t="shared" si="124"/>
        <v>0</v>
      </c>
      <c r="O99" s="700">
        <f t="shared" si="124"/>
        <v>0</v>
      </c>
      <c r="P99" s="556">
        <f t="shared" si="130"/>
        <v>0</v>
      </c>
      <c r="Q99" s="556">
        <f t="shared" si="130"/>
        <v>0</v>
      </c>
      <c r="R99" s="556">
        <f t="shared" si="130"/>
        <v>0</v>
      </c>
      <c r="S99" s="599">
        <f t="shared" si="130"/>
        <v>0</v>
      </c>
      <c r="T99" s="556">
        <f t="shared" si="130"/>
        <v>0</v>
      </c>
      <c r="U99" s="599">
        <f t="shared" si="130"/>
        <v>0</v>
      </c>
      <c r="V99" s="370"/>
      <c r="W99" s="370"/>
      <c r="X99" s="370"/>
      <c r="AG99" s="370">
        <v>4.5</v>
      </c>
      <c r="AH99" s="596">
        <v>1.5162076434929144</v>
      </c>
      <c r="AI99" s="596">
        <v>1.1248195799735996</v>
      </c>
      <c r="AJ99" s="596">
        <v>0.87272110191452479</v>
      </c>
      <c r="AK99" s="596">
        <v>0.72429224130789283</v>
      </c>
      <c r="AL99" s="596"/>
      <c r="AM99" s="596">
        <v>0.85876993017150405</v>
      </c>
      <c r="AN99" s="596"/>
      <c r="AO99" s="596">
        <v>0.49507761006071443</v>
      </c>
      <c r="AP99" s="596">
        <v>0.56157368431534005</v>
      </c>
      <c r="AQ99" s="596">
        <v>3.779283016490445</v>
      </c>
      <c r="AR99" s="596">
        <v>0.92114647541509476</v>
      </c>
      <c r="BB99" s="386"/>
      <c r="BC99" s="386"/>
    </row>
    <row r="100" spans="2:55">
      <c r="B100" s="876" t="s">
        <v>21</v>
      </c>
      <c r="C100" s="366"/>
      <c r="D100" s="449" t="s">
        <v>683</v>
      </c>
      <c r="F100" s="432">
        <f t="shared" si="124"/>
        <v>0</v>
      </c>
      <c r="G100" s="432">
        <f t="shared" ref="G100" si="131">$AA61*$AC61*AG61</f>
        <v>0</v>
      </c>
      <c r="H100" s="432">
        <f t="shared" ref="H100" si="132">$AA61*$AC61*AH61</f>
        <v>0</v>
      </c>
      <c r="I100" s="432">
        <f t="shared" ref="I100" si="133">$AA61*$AC61*AI61</f>
        <v>0</v>
      </c>
      <c r="J100" s="432">
        <f t="shared" ref="J100" si="134">$AA61*$AC61*AJ61</f>
        <v>148653629.95305425</v>
      </c>
      <c r="K100" s="432">
        <f t="shared" ref="K100" si="135">$AA61*$AC61*AK61</f>
        <v>128027024.73926823</v>
      </c>
      <c r="L100" s="432">
        <f t="shared" ref="L100" si="136">$AA61*$AC61*AL61</f>
        <v>109314355.34986989</v>
      </c>
      <c r="M100" s="432">
        <f t="shared" ref="M100" si="137">$AA61*$AC61*AM61</f>
        <v>100644989.80827229</v>
      </c>
      <c r="N100" s="432">
        <f t="shared" ref="N100" si="138">$AA61*$AC61*AN61</f>
        <v>0</v>
      </c>
      <c r="O100" s="432">
        <f t="shared" ref="O100" si="139">$AA61*$AC61*AO61</f>
        <v>0</v>
      </c>
      <c r="P100" s="432">
        <f t="shared" si="130"/>
        <v>0</v>
      </c>
      <c r="Q100" s="432">
        <f t="shared" si="130"/>
        <v>0</v>
      </c>
      <c r="R100" s="432">
        <f t="shared" si="130"/>
        <v>4213378.4689214686</v>
      </c>
      <c r="S100" s="432">
        <f t="shared" si="130"/>
        <v>10306146.990692645</v>
      </c>
      <c r="T100" s="432">
        <f t="shared" si="130"/>
        <v>11078755.803746514</v>
      </c>
      <c r="U100" s="433">
        <f t="shared" si="130"/>
        <v>17498131.135877535</v>
      </c>
      <c r="V100" s="370"/>
      <c r="W100" s="370"/>
      <c r="X100" s="370"/>
      <c r="AG100" s="370">
        <v>5</v>
      </c>
      <c r="AH100" s="596">
        <v>1.5954705005274348</v>
      </c>
      <c r="AI100" s="596">
        <v>1.2011306286249634</v>
      </c>
      <c r="AJ100" s="596">
        <v>0.94797950500628936</v>
      </c>
      <c r="AK100" s="596">
        <v>0.8042985260961395</v>
      </c>
      <c r="AL100" s="596"/>
      <c r="AM100" s="596">
        <v>0.91290467781664153</v>
      </c>
      <c r="AN100" s="596"/>
      <c r="AO100" s="596">
        <v>0.55263071332164826</v>
      </c>
      <c r="AP100" s="596">
        <v>0.58918821465926829</v>
      </c>
      <c r="AQ100" s="596">
        <v>3.779283016490445</v>
      </c>
      <c r="AR100" s="596">
        <v>0.92114647541509476</v>
      </c>
      <c r="BB100" s="386"/>
      <c r="BC100" s="386"/>
    </row>
    <row r="101" spans="2:55">
      <c r="B101" s="367" t="s">
        <v>768</v>
      </c>
      <c r="C101" s="377"/>
      <c r="D101" s="449"/>
      <c r="E101" s="407"/>
      <c r="F101" s="407"/>
      <c r="G101" s="407"/>
      <c r="H101" s="407"/>
      <c r="I101" s="407"/>
      <c r="J101" s="407"/>
      <c r="K101" s="701"/>
      <c r="L101" s="701"/>
      <c r="M101" s="701"/>
      <c r="N101" s="701"/>
      <c r="O101" s="701"/>
      <c r="P101" s="557"/>
      <c r="Q101" s="557"/>
      <c r="R101" s="557"/>
      <c r="S101" s="600"/>
      <c r="T101" s="557"/>
      <c r="U101" s="600"/>
      <c r="V101" s="370"/>
      <c r="W101" s="370"/>
      <c r="X101" s="370"/>
      <c r="AH101" s="596"/>
      <c r="AI101" s="596"/>
      <c r="AJ101" s="596"/>
      <c r="AK101" s="596"/>
      <c r="AL101" s="596"/>
      <c r="AM101" s="596"/>
      <c r="AN101" s="596"/>
      <c r="AO101" s="596"/>
      <c r="BB101" s="414"/>
      <c r="BC101" s="386"/>
    </row>
    <row r="102" spans="2:55">
      <c r="B102" s="368" t="s">
        <v>879</v>
      </c>
      <c r="C102" s="369"/>
      <c r="D102" s="449" t="s">
        <v>664</v>
      </c>
      <c r="E102" s="502" t="e">
        <f t="shared" ref="E102:U102" si="140">E94/AE54</f>
        <v>#REF!</v>
      </c>
      <c r="F102" s="502">
        <f t="shared" si="140"/>
        <v>1.4560231809903021</v>
      </c>
      <c r="G102" s="502">
        <f t="shared" si="140"/>
        <v>1.0524782163550757</v>
      </c>
      <c r="H102" s="502">
        <f t="shared" si="140"/>
        <v>0.80342019830312561</v>
      </c>
      <c r="I102" s="502">
        <f t="shared" si="140"/>
        <v>0.64727303977567585</v>
      </c>
      <c r="J102" s="502">
        <f t="shared" si="140"/>
        <v>1.4976871624407779</v>
      </c>
      <c r="K102" s="702">
        <f t="shared" si="140"/>
        <v>1.0970854575301596</v>
      </c>
      <c r="L102" s="702">
        <f t="shared" si="140"/>
        <v>0.8430388648205327</v>
      </c>
      <c r="M102" s="702">
        <f t="shared" si="140"/>
        <v>0.68630239256107961</v>
      </c>
      <c r="N102" s="702">
        <f t="shared" si="140"/>
        <v>2.0969812292346792</v>
      </c>
      <c r="O102" s="702">
        <f t="shared" si="140"/>
        <v>1.5764959353550763</v>
      </c>
      <c r="P102" s="502">
        <f t="shared" si="140"/>
        <v>1.2370669501094214</v>
      </c>
      <c r="Q102" s="502">
        <f t="shared" si="140"/>
        <v>1.0516535641816884</v>
      </c>
      <c r="R102" s="502">
        <f t="shared" si="140"/>
        <v>2.098762762677957</v>
      </c>
      <c r="S102" s="613">
        <f t="shared" si="140"/>
        <v>1.577855513011388</v>
      </c>
      <c r="T102" s="502">
        <f t="shared" si="140"/>
        <v>1.9473678265801591</v>
      </c>
      <c r="U102" s="613">
        <f t="shared" si="140"/>
        <v>1.874317065112058</v>
      </c>
      <c r="V102" s="370"/>
      <c r="W102" s="370"/>
      <c r="X102" s="370"/>
      <c r="AG102" s="43"/>
      <c r="BB102" s="414"/>
      <c r="BC102" s="386"/>
    </row>
    <row r="103" spans="2:55">
      <c r="B103" s="406" t="s">
        <v>629</v>
      </c>
      <c r="C103" s="377"/>
      <c r="D103" s="449" t="s">
        <v>664</v>
      </c>
      <c r="E103" s="416">
        <f t="shared" ref="E103:U103" si="141">$AA$55</f>
        <v>1.4239999999999999</v>
      </c>
      <c r="F103" s="416">
        <f>$AA$55</f>
        <v>1.4239999999999999</v>
      </c>
      <c r="G103" s="416">
        <f t="shared" si="141"/>
        <v>1.4239999999999999</v>
      </c>
      <c r="H103" s="416">
        <f t="shared" si="141"/>
        <v>1.4239999999999999</v>
      </c>
      <c r="I103" s="416">
        <f t="shared" si="141"/>
        <v>1.4239999999999999</v>
      </c>
      <c r="J103" s="416">
        <f t="shared" si="141"/>
        <v>1.4239999999999999</v>
      </c>
      <c r="K103" s="703">
        <f t="shared" si="141"/>
        <v>1.4239999999999999</v>
      </c>
      <c r="L103" s="703">
        <f t="shared" si="141"/>
        <v>1.4239999999999999</v>
      </c>
      <c r="M103" s="703">
        <f t="shared" si="141"/>
        <v>1.4239999999999999</v>
      </c>
      <c r="N103" s="703">
        <f t="shared" si="141"/>
        <v>1.4239999999999999</v>
      </c>
      <c r="O103" s="703">
        <f t="shared" si="141"/>
        <v>1.4239999999999999</v>
      </c>
      <c r="P103" s="558">
        <f t="shared" si="141"/>
        <v>1.4239999999999999</v>
      </c>
      <c r="Q103" s="558">
        <f t="shared" si="141"/>
        <v>1.4239999999999999</v>
      </c>
      <c r="R103" s="558">
        <f t="shared" si="141"/>
        <v>1.4239999999999999</v>
      </c>
      <c r="S103" s="601">
        <f t="shared" si="141"/>
        <v>1.4239999999999999</v>
      </c>
      <c r="T103" s="558">
        <f t="shared" si="141"/>
        <v>1.4239999999999999</v>
      </c>
      <c r="U103" s="601">
        <f t="shared" si="141"/>
        <v>1.4239999999999999</v>
      </c>
      <c r="V103" s="370"/>
      <c r="W103" s="370"/>
      <c r="X103" s="370"/>
      <c r="AG103" s="391"/>
      <c r="BB103" s="414"/>
      <c r="BC103" s="386"/>
    </row>
    <row r="104" spans="2:55">
      <c r="B104" s="406" t="s">
        <v>688</v>
      </c>
      <c r="C104" s="377"/>
      <c r="D104" s="449" t="s">
        <v>664</v>
      </c>
      <c r="E104" s="416">
        <f t="shared" ref="E104:U104" si="142">$AA$57</f>
        <v>0.48461538461538461</v>
      </c>
      <c r="F104" s="416">
        <f t="shared" si="142"/>
        <v>0.48461538461538461</v>
      </c>
      <c r="G104" s="416">
        <f t="shared" si="142"/>
        <v>0.48461538461538461</v>
      </c>
      <c r="H104" s="416">
        <f t="shared" si="142"/>
        <v>0.48461538461538461</v>
      </c>
      <c r="I104" s="416">
        <f t="shared" si="142"/>
        <v>0.48461538461538461</v>
      </c>
      <c r="J104" s="416">
        <f t="shared" si="142"/>
        <v>0.48461538461538461</v>
      </c>
      <c r="K104" s="703">
        <f t="shared" si="142"/>
        <v>0.48461538461538461</v>
      </c>
      <c r="L104" s="703">
        <f t="shared" si="142"/>
        <v>0.48461538461538461</v>
      </c>
      <c r="M104" s="703">
        <f t="shared" si="142"/>
        <v>0.48461538461538461</v>
      </c>
      <c r="N104" s="703">
        <f t="shared" si="142"/>
        <v>0.48461538461538461</v>
      </c>
      <c r="O104" s="703">
        <f t="shared" si="142"/>
        <v>0.48461538461538461</v>
      </c>
      <c r="P104" s="558">
        <f t="shared" si="142"/>
        <v>0.48461538461538461</v>
      </c>
      <c r="Q104" s="558">
        <f t="shared" si="142"/>
        <v>0.48461538461538461</v>
      </c>
      <c r="R104" s="558">
        <f t="shared" si="142"/>
        <v>0.48461538461538461</v>
      </c>
      <c r="S104" s="601">
        <f t="shared" si="142"/>
        <v>0.48461538461538461</v>
      </c>
      <c r="T104" s="558">
        <f t="shared" si="142"/>
        <v>0.48461538461538461</v>
      </c>
      <c r="U104" s="601">
        <f t="shared" si="142"/>
        <v>0.48461538461538461</v>
      </c>
      <c r="V104" s="370"/>
      <c r="W104" s="370"/>
      <c r="X104" s="370"/>
      <c r="AG104" s="391"/>
    </row>
    <row r="105" spans="2:55">
      <c r="B105" s="406" t="s">
        <v>625</v>
      </c>
      <c r="C105" s="377"/>
      <c r="D105" s="449" t="s">
        <v>664</v>
      </c>
      <c r="E105" s="416">
        <f t="shared" ref="E105:U105" si="143">$AA$58</f>
        <v>0.63</v>
      </c>
      <c r="F105" s="416">
        <f t="shared" si="143"/>
        <v>0.63</v>
      </c>
      <c r="G105" s="416">
        <f t="shared" si="143"/>
        <v>0.63</v>
      </c>
      <c r="H105" s="416">
        <f t="shared" si="143"/>
        <v>0.63</v>
      </c>
      <c r="I105" s="416">
        <f t="shared" si="143"/>
        <v>0.63</v>
      </c>
      <c r="J105" s="416">
        <f t="shared" si="143"/>
        <v>0.63</v>
      </c>
      <c r="K105" s="703">
        <f t="shared" si="143"/>
        <v>0.63</v>
      </c>
      <c r="L105" s="703">
        <f t="shared" si="143"/>
        <v>0.63</v>
      </c>
      <c r="M105" s="703">
        <f t="shared" si="143"/>
        <v>0.63</v>
      </c>
      <c r="N105" s="703">
        <f t="shared" si="143"/>
        <v>0.63</v>
      </c>
      <c r="O105" s="703">
        <f t="shared" si="143"/>
        <v>0.63</v>
      </c>
      <c r="P105" s="558">
        <f t="shared" si="143"/>
        <v>0.63</v>
      </c>
      <c r="Q105" s="558">
        <f t="shared" si="143"/>
        <v>0.63</v>
      </c>
      <c r="R105" s="558">
        <f t="shared" si="143"/>
        <v>0.63</v>
      </c>
      <c r="S105" s="601">
        <f t="shared" si="143"/>
        <v>0.63</v>
      </c>
      <c r="T105" s="558">
        <f t="shared" si="143"/>
        <v>0.63</v>
      </c>
      <c r="U105" s="601">
        <f t="shared" si="143"/>
        <v>0.63</v>
      </c>
      <c r="V105" s="370"/>
      <c r="W105" s="370"/>
      <c r="X105" s="370"/>
      <c r="AG105" s="348"/>
      <c r="AH105" s="379"/>
      <c r="AI105" s="379"/>
      <c r="AJ105" s="379"/>
      <c r="AK105" s="379"/>
      <c r="AL105" s="379"/>
      <c r="AM105" s="379"/>
      <c r="AN105" s="379"/>
      <c r="AO105" s="379"/>
      <c r="AP105" s="379"/>
      <c r="AQ105" s="379"/>
      <c r="AR105" s="379"/>
    </row>
    <row r="106" spans="2:55">
      <c r="B106" s="406" t="s">
        <v>779</v>
      </c>
      <c r="C106" s="377"/>
      <c r="D106" s="449" t="s">
        <v>664</v>
      </c>
      <c r="E106" s="416">
        <f t="shared" ref="E106:U106" si="144">$AA$59</f>
        <v>0.16303184288571695</v>
      </c>
      <c r="F106" s="416">
        <f t="shared" si="144"/>
        <v>0.16303184288571695</v>
      </c>
      <c r="G106" s="416">
        <f t="shared" si="144"/>
        <v>0.16303184288571695</v>
      </c>
      <c r="H106" s="416">
        <f t="shared" si="144"/>
        <v>0.16303184288571695</v>
      </c>
      <c r="I106" s="416">
        <f t="shared" si="144"/>
        <v>0.16303184288571695</v>
      </c>
      <c r="J106" s="416">
        <f t="shared" si="144"/>
        <v>0.16303184288571695</v>
      </c>
      <c r="K106" s="703">
        <f t="shared" si="144"/>
        <v>0.16303184288571695</v>
      </c>
      <c r="L106" s="703">
        <f t="shared" si="144"/>
        <v>0.16303184288571695</v>
      </c>
      <c r="M106" s="703">
        <f t="shared" si="144"/>
        <v>0.16303184288571695</v>
      </c>
      <c r="N106" s="703">
        <f t="shared" si="144"/>
        <v>0.16303184288571695</v>
      </c>
      <c r="O106" s="703">
        <f t="shared" si="144"/>
        <v>0.16303184288571695</v>
      </c>
      <c r="P106" s="558">
        <f t="shared" si="144"/>
        <v>0.16303184288571695</v>
      </c>
      <c r="Q106" s="558">
        <f t="shared" si="144"/>
        <v>0.16303184288571695</v>
      </c>
      <c r="R106" s="558">
        <f t="shared" si="144"/>
        <v>0.16303184288571695</v>
      </c>
      <c r="S106" s="601">
        <f t="shared" si="144"/>
        <v>0.16303184288571695</v>
      </c>
      <c r="T106" s="558">
        <f t="shared" si="144"/>
        <v>0.16303184288571695</v>
      </c>
      <c r="U106" s="601">
        <f t="shared" si="144"/>
        <v>0.16303184288571695</v>
      </c>
      <c r="V106" s="370"/>
      <c r="W106" s="370"/>
      <c r="X106" s="370"/>
      <c r="AG106" s="619" t="s">
        <v>1055</v>
      </c>
      <c r="AH106" s="370" t="s">
        <v>1037</v>
      </c>
      <c r="AI106" s="370" t="s">
        <v>1036</v>
      </c>
      <c r="AJ106" s="370" t="s">
        <v>1035</v>
      </c>
      <c r="AK106" s="370" t="s">
        <v>1034</v>
      </c>
      <c r="AM106" s="573" t="s">
        <v>1053</v>
      </c>
      <c r="AO106" s="370" t="s">
        <v>923</v>
      </c>
      <c r="AP106" s="370" t="s">
        <v>925</v>
      </c>
      <c r="AQ106" s="370" t="s">
        <v>1038</v>
      </c>
      <c r="AR106" s="370" t="s">
        <v>1046</v>
      </c>
    </row>
    <row r="107" spans="2:55" ht="17.25" thickBot="1">
      <c r="B107" s="417" t="s">
        <v>719</v>
      </c>
      <c r="C107" s="418"/>
      <c r="D107" s="450" t="s">
        <v>664</v>
      </c>
      <c r="E107" s="419">
        <f t="shared" ref="E107:U107" si="145">$AA$60</f>
        <v>0.62075000000000002</v>
      </c>
      <c r="F107" s="419">
        <f t="shared" si="145"/>
        <v>0.62075000000000002</v>
      </c>
      <c r="G107" s="419">
        <f t="shared" si="145"/>
        <v>0.62075000000000002</v>
      </c>
      <c r="H107" s="419">
        <f t="shared" si="145"/>
        <v>0.62075000000000002</v>
      </c>
      <c r="I107" s="419">
        <f t="shared" si="145"/>
        <v>0.62075000000000002</v>
      </c>
      <c r="J107" s="419">
        <f t="shared" si="145"/>
        <v>0.62075000000000002</v>
      </c>
      <c r="K107" s="704">
        <f t="shared" si="145"/>
        <v>0.62075000000000002</v>
      </c>
      <c r="L107" s="704">
        <f t="shared" si="145"/>
        <v>0.62075000000000002</v>
      </c>
      <c r="M107" s="704">
        <f t="shared" si="145"/>
        <v>0.62075000000000002</v>
      </c>
      <c r="N107" s="704">
        <f t="shared" si="145"/>
        <v>0.62075000000000002</v>
      </c>
      <c r="O107" s="704">
        <f t="shared" si="145"/>
        <v>0.62075000000000002</v>
      </c>
      <c r="P107" s="559">
        <f t="shared" si="145"/>
        <v>0.62075000000000002</v>
      </c>
      <c r="Q107" s="559">
        <f t="shared" si="145"/>
        <v>0.62075000000000002</v>
      </c>
      <c r="R107" s="559">
        <f t="shared" si="145"/>
        <v>0.62075000000000002</v>
      </c>
      <c r="S107" s="602">
        <f t="shared" si="145"/>
        <v>0.62075000000000002</v>
      </c>
      <c r="T107" s="559">
        <f t="shared" si="145"/>
        <v>0.62075000000000002</v>
      </c>
      <c r="U107" s="602">
        <f t="shared" si="145"/>
        <v>0.62075000000000002</v>
      </c>
      <c r="V107" s="370"/>
      <c r="W107" s="370"/>
      <c r="X107" s="370"/>
      <c r="AG107" s="370">
        <v>1</v>
      </c>
      <c r="AH107" s="596">
        <v>1.66335340217425</v>
      </c>
      <c r="AI107" s="596">
        <v>1.3286983016923515</v>
      </c>
      <c r="AJ107" s="596">
        <v>1.1157701551026107</v>
      </c>
      <c r="AK107" s="596">
        <v>1.0304281683498002</v>
      </c>
      <c r="AL107" s="596"/>
      <c r="AM107" s="596">
        <v>1.4654176806814727</v>
      </c>
      <c r="AN107" s="596"/>
      <c r="AO107" s="596">
        <v>0.35349697603881752</v>
      </c>
      <c r="AP107" s="596">
        <v>0.49364193966927694</v>
      </c>
      <c r="AQ107" s="596">
        <v>3.779283016490445</v>
      </c>
      <c r="AR107" s="596">
        <v>0.92114647541509476</v>
      </c>
    </row>
    <row r="108" spans="2:55">
      <c r="B108" s="522" t="s">
        <v>892</v>
      </c>
      <c r="E108" s="594"/>
      <c r="F108" s="594"/>
      <c r="G108" s="594"/>
      <c r="H108" s="594"/>
      <c r="I108" s="594"/>
      <c r="J108" s="594"/>
      <c r="K108" s="594"/>
      <c r="L108" s="594"/>
      <c r="M108" s="594"/>
      <c r="N108" s="706"/>
      <c r="O108" s="706"/>
      <c r="P108" s="543"/>
      <c r="Q108" s="543"/>
      <c r="R108" s="609"/>
      <c r="S108" s="609"/>
      <c r="T108" s="492"/>
      <c r="U108" s="492"/>
      <c r="V108" s="370"/>
      <c r="W108" s="370"/>
      <c r="X108" s="370"/>
      <c r="AG108" s="370">
        <v>1.5</v>
      </c>
      <c r="AH108" s="596">
        <v>1.5627262295312334</v>
      </c>
      <c r="AI108" s="596">
        <v>1.2135206836332022</v>
      </c>
      <c r="AJ108" s="596">
        <v>0.98983347133972088</v>
      </c>
      <c r="AK108" s="596">
        <v>0.88250128963774299</v>
      </c>
      <c r="AL108" s="596"/>
      <c r="AM108" s="596">
        <v>1.340024590898929</v>
      </c>
      <c r="AN108" s="596"/>
      <c r="AO108" s="596">
        <v>0.35349697603881752</v>
      </c>
      <c r="AP108" s="596">
        <v>0.49364193966927694</v>
      </c>
      <c r="AQ108" s="596">
        <v>3.779283016490445</v>
      </c>
      <c r="AR108" s="596">
        <v>0.92114647541509476</v>
      </c>
    </row>
    <row r="109" spans="2:55">
      <c r="E109" s="370" t="s">
        <v>773</v>
      </c>
      <c r="F109" s="315" t="s">
        <v>1147</v>
      </c>
      <c r="G109" s="315" t="s">
        <v>1148</v>
      </c>
      <c r="H109" s="315" t="s">
        <v>1149</v>
      </c>
      <c r="I109" s="315" t="s">
        <v>1150</v>
      </c>
      <c r="J109" s="841" t="s">
        <v>1164</v>
      </c>
      <c r="K109" s="842" t="s">
        <v>1166</v>
      </c>
      <c r="L109" s="842" t="s">
        <v>1167</v>
      </c>
      <c r="M109" s="842" t="s">
        <v>1168</v>
      </c>
      <c r="N109" s="843" t="s">
        <v>1172</v>
      </c>
      <c r="O109" s="843" t="s">
        <v>1174</v>
      </c>
      <c r="P109" s="844" t="s">
        <v>1176</v>
      </c>
      <c r="Q109" s="844" t="s">
        <v>1178</v>
      </c>
      <c r="R109" s="845" t="s">
        <v>1180</v>
      </c>
      <c r="S109" s="845" t="s">
        <v>1182</v>
      </c>
      <c r="T109" s="845" t="s">
        <v>1184</v>
      </c>
      <c r="U109" s="845" t="s">
        <v>1186</v>
      </c>
      <c r="V109" s="370"/>
      <c r="W109" s="370"/>
      <c r="X109" s="370"/>
      <c r="AG109" s="370">
        <v>2</v>
      </c>
      <c r="AH109" s="596">
        <v>1.4620990568882168</v>
      </c>
      <c r="AI109" s="596">
        <v>1.0983430655740527</v>
      </c>
      <c r="AJ109" s="596">
        <v>0.86389678757683097</v>
      </c>
      <c r="AK109" s="596">
        <v>0.73457441092568587</v>
      </c>
      <c r="AL109" s="596"/>
      <c r="AM109" s="596">
        <v>1.2146315011163855</v>
      </c>
      <c r="AN109" s="596"/>
      <c r="AO109" s="596">
        <v>0.35349697603881752</v>
      </c>
      <c r="AP109" s="596">
        <v>0.49364193966927694</v>
      </c>
      <c r="AQ109" s="596">
        <v>3.779283016490445</v>
      </c>
      <c r="AR109" s="596">
        <v>0.92114647541509476</v>
      </c>
    </row>
    <row r="110" spans="2:55">
      <c r="D110" s="370" t="s">
        <v>893</v>
      </c>
      <c r="E110" s="493" t="e">
        <f t="shared" ref="E110:N110" si="146">E83/E71*E37</f>
        <v>#REF!</v>
      </c>
      <c r="F110" s="493">
        <f t="shared" si="146"/>
        <v>0.19368639922631645</v>
      </c>
      <c r="G110" s="493">
        <f t="shared" si="146"/>
        <v>0.1435379387480753</v>
      </c>
      <c r="H110" s="493">
        <f t="shared" si="146"/>
        <v>0.11411020720838039</v>
      </c>
      <c r="I110" s="493">
        <f t="shared" si="146"/>
        <v>8.9485436119457987E-2</v>
      </c>
      <c r="J110" s="493">
        <f t="shared" si="146"/>
        <v>0.19962941899940617</v>
      </c>
      <c r="K110" s="707">
        <f t="shared" si="146"/>
        <v>0.15052583616451159</v>
      </c>
      <c r="L110" s="707">
        <f t="shared" si="146"/>
        <v>0.12009574030509464</v>
      </c>
      <c r="M110" s="707">
        <f t="shared" si="146"/>
        <v>9.578240487596841E-2</v>
      </c>
      <c r="N110" s="707">
        <f t="shared" si="146"/>
        <v>0.22586762876985136</v>
      </c>
      <c r="O110" s="707">
        <f t="shared" ref="O110" si="147">O83/O71*O37</f>
        <v>0.17135063530187467</v>
      </c>
      <c r="P110" s="610">
        <f>P83/P71*P37</f>
        <v>0.14033678803285057</v>
      </c>
      <c r="Q110" s="610">
        <f>Q83/Q71*Q37</f>
        <v>0.11752741989768294</v>
      </c>
      <c r="R110" s="610">
        <f>R83/R71*R37</f>
        <v>0.22662351468897246</v>
      </c>
      <c r="S110" s="610">
        <f>S83/S71*S37</f>
        <v>0.17266633937471254</v>
      </c>
      <c r="T110" s="610">
        <f t="shared" ref="T110:U110" si="148">T83/T71*T37</f>
        <v>0.1416358249834247</v>
      </c>
      <c r="U110" s="610">
        <f t="shared" si="148"/>
        <v>0.12036962870929363</v>
      </c>
      <c r="V110" s="370"/>
      <c r="W110" s="370"/>
      <c r="X110" s="370"/>
      <c r="AG110" s="370">
        <v>2.5</v>
      </c>
      <c r="AH110" s="596">
        <v>1.3614718842452005</v>
      </c>
      <c r="AI110" s="596">
        <v>0.98316544751490342</v>
      </c>
      <c r="AJ110" s="596">
        <v>0.73796010381394095</v>
      </c>
      <c r="AK110" s="596">
        <v>0.58664753221362875</v>
      </c>
      <c r="AL110" s="596"/>
      <c r="AM110" s="596">
        <v>1.089238411333842</v>
      </c>
      <c r="AN110" s="596"/>
      <c r="AO110" s="596">
        <v>0.35349697603881752</v>
      </c>
      <c r="AP110" s="596">
        <v>0.49364193966927694</v>
      </c>
      <c r="AQ110" s="596">
        <v>3.779283016490445</v>
      </c>
      <c r="AR110" s="596">
        <v>0.92114647541509476</v>
      </c>
    </row>
    <row r="111" spans="2:55">
      <c r="D111" s="370" t="s">
        <v>894</v>
      </c>
      <c r="E111" s="493" t="e">
        <f t="shared" ref="E111:N111" si="149">E83/E71*E41</f>
        <v>#REF!</v>
      </c>
      <c r="F111" s="493">
        <f t="shared" si="149"/>
        <v>0.36199978024561419</v>
      </c>
      <c r="G111" s="493">
        <f t="shared" si="149"/>
        <v>0.28821501146319584</v>
      </c>
      <c r="H111" s="493">
        <f t="shared" si="149"/>
        <v>0.23172178756266085</v>
      </c>
      <c r="I111" s="493">
        <f t="shared" si="149"/>
        <v>0.18908515522854558</v>
      </c>
      <c r="J111" s="493">
        <f t="shared" si="149"/>
        <v>0.34324804812267551</v>
      </c>
      <c r="K111" s="707">
        <f t="shared" si="149"/>
        <v>0.27409291479952419</v>
      </c>
      <c r="L111" s="707">
        <f t="shared" si="149"/>
        <v>0.22212752802587368</v>
      </c>
      <c r="M111" s="707">
        <f t="shared" si="149"/>
        <v>0.18287138448385495</v>
      </c>
      <c r="N111" s="707">
        <f t="shared" si="149"/>
        <v>0.1984568354978222</v>
      </c>
      <c r="O111" s="707">
        <f t="shared" ref="O111" si="150">O83/O71*O41</f>
        <v>0.18887820230981014</v>
      </c>
      <c r="P111" s="610">
        <f>P83/P71*P41</f>
        <v>0.17422227303805563</v>
      </c>
      <c r="Q111" s="610">
        <f>Q83/Q71*Q41</f>
        <v>0.16406200919833744</v>
      </c>
      <c r="R111" s="610">
        <f>R83/R71*R41</f>
        <v>0.19821468058456748</v>
      </c>
      <c r="S111" s="610">
        <f>S83/S71*S41</f>
        <v>0.18808123018783168</v>
      </c>
      <c r="T111" s="610">
        <f t="shared" ref="T111:U111" si="151">T83/T71*T41</f>
        <v>0.17336088876652847</v>
      </c>
      <c r="U111" s="610">
        <f t="shared" si="151"/>
        <v>0.16328779092999879</v>
      </c>
      <c r="V111" s="370"/>
      <c r="W111" s="370"/>
      <c r="X111" s="370"/>
      <c r="AG111" s="370">
        <v>3</v>
      </c>
      <c r="AH111" s="596">
        <v>1.2608447116021839</v>
      </c>
      <c r="AI111" s="596">
        <v>0.86798782945575403</v>
      </c>
      <c r="AJ111" s="596">
        <v>0.61202342005105093</v>
      </c>
      <c r="AK111" s="596">
        <v>0.43872065350157152</v>
      </c>
      <c r="AL111" s="596"/>
      <c r="AM111" s="596">
        <v>0.96384532155129832</v>
      </c>
      <c r="AN111" s="596"/>
      <c r="AO111" s="596">
        <v>0.35349697603881752</v>
      </c>
      <c r="AP111" s="596">
        <v>0.49364193966927694</v>
      </c>
      <c r="AQ111" s="596">
        <v>3.779283016490445</v>
      </c>
      <c r="AR111" s="596">
        <v>0.92114647541509476</v>
      </c>
    </row>
    <row r="112" spans="2:55">
      <c r="B112" s="370">
        <f>F112/I112</f>
        <v>2.8913078840771025</v>
      </c>
      <c r="D112" s="370" t="s">
        <v>662</v>
      </c>
      <c r="E112" s="493" t="e">
        <f t="shared" ref="E112:N112" si="152">E83/E71*E49</f>
        <v>#REF!</v>
      </c>
      <c r="F112" s="493">
        <f t="shared" si="152"/>
        <v>0.75115550440208656</v>
      </c>
      <c r="G112" s="493">
        <f t="shared" si="152"/>
        <v>0.49563540414024693</v>
      </c>
      <c r="H112" s="493">
        <f t="shared" si="152"/>
        <v>0.34297281974704319</v>
      </c>
      <c r="I112" s="493">
        <f t="shared" si="152"/>
        <v>0.25979782663023221</v>
      </c>
      <c r="J112" s="493">
        <f t="shared" si="152"/>
        <v>0.79561973531430108</v>
      </c>
      <c r="K112" s="707">
        <f t="shared" si="152"/>
        <v>0.53660915992079328</v>
      </c>
      <c r="L112" s="707">
        <f t="shared" si="152"/>
        <v>0.37627806557753718</v>
      </c>
      <c r="M112" s="707">
        <f t="shared" si="152"/>
        <v>0.28787774869139754</v>
      </c>
      <c r="N112" s="707">
        <f t="shared" si="152"/>
        <v>1.5629461220904464</v>
      </c>
      <c r="O112" s="707">
        <f t="shared" ref="O112" si="153">O83/O71*O49</f>
        <v>1.1220875014789005</v>
      </c>
      <c r="P112" s="610">
        <f>P83/P71*P49</f>
        <v>0.83434874585694285</v>
      </c>
      <c r="Q112" s="610">
        <f>Q83/Q71*Q49</f>
        <v>0.68440351330149785</v>
      </c>
      <c r="R112" s="610">
        <f>R83/R71*R49</f>
        <v>1.5637276249062653</v>
      </c>
      <c r="S112" s="610">
        <f>S83/S71*S49</f>
        <v>1.1233189035223956</v>
      </c>
      <c r="T112" s="610">
        <f t="shared" ref="T112:U112" si="154">T83/T71*T49</f>
        <v>0.83599128333776007</v>
      </c>
      <c r="U112" s="610">
        <f t="shared" si="154"/>
        <v>0.69181972400650571</v>
      </c>
      <c r="V112" s="370"/>
      <c r="W112" s="370"/>
      <c r="X112" s="370"/>
      <c r="AG112" s="370">
        <v>3.5</v>
      </c>
      <c r="AH112" s="596">
        <v>1.1602175389591676</v>
      </c>
      <c r="AI112" s="596">
        <v>0.75281021139660464</v>
      </c>
      <c r="AJ112" s="596">
        <v>0.48608673628816079</v>
      </c>
      <c r="AK112" s="596">
        <v>0.29079377478951424</v>
      </c>
      <c r="AL112" s="596"/>
      <c r="AM112" s="596">
        <v>0.83845223176875472</v>
      </c>
      <c r="AN112" s="596"/>
      <c r="AO112" s="596">
        <v>0.35349697603881752</v>
      </c>
      <c r="AP112" s="596">
        <v>0.49364193966927694</v>
      </c>
      <c r="AQ112" s="596">
        <v>3.779283016490445</v>
      </c>
      <c r="AR112" s="596">
        <v>0.92114647541509476</v>
      </c>
    </row>
    <row r="113" spans="2:44">
      <c r="D113" s="525" t="s">
        <v>895</v>
      </c>
      <c r="E113" s="493" t="e">
        <f t="shared" ref="E113:N113" si="155">E83/E71*E63</f>
        <v>#REF!</v>
      </c>
      <c r="F113" s="493">
        <f t="shared" si="155"/>
        <v>5.4120032288291674E-2</v>
      </c>
      <c r="G113" s="493">
        <f t="shared" si="155"/>
        <v>4.0107503214842063E-2</v>
      </c>
      <c r="H113" s="493">
        <f t="shared" si="155"/>
        <v>3.1884779329937107E-2</v>
      </c>
      <c r="I113" s="493">
        <f t="shared" si="155"/>
        <v>2.5004103083449282E-2</v>
      </c>
      <c r="J113" s="493">
        <f t="shared" si="155"/>
        <v>5.5780636353906787E-2</v>
      </c>
      <c r="K113" s="707">
        <f t="shared" si="155"/>
        <v>4.2060067955141174E-2</v>
      </c>
      <c r="L113" s="707">
        <f t="shared" si="155"/>
        <v>3.3557262507644917E-2</v>
      </c>
      <c r="M113" s="707">
        <f t="shared" si="155"/>
        <v>2.6763607900421506E-2</v>
      </c>
      <c r="N113" s="707">
        <f t="shared" si="155"/>
        <v>9.7518883019143202E-3</v>
      </c>
      <c r="O113" s="707">
        <f t="shared" ref="O113" si="156">O83/O71*O63</f>
        <v>7.5412341667481751E-3</v>
      </c>
      <c r="P113" s="610">
        <f>P83/P71*P63</f>
        <v>6.2492423307732581E-3</v>
      </c>
      <c r="Q113" s="610">
        <f>Q83/Q71*Q63</f>
        <v>5.3013467110045245E-3</v>
      </c>
      <c r="R113" s="610">
        <f>R83/R71*R63</f>
        <v>9.7811408549471762E-3</v>
      </c>
      <c r="S113" s="610">
        <f>S83/S71*S63</f>
        <v>6.1154923335814291E-3</v>
      </c>
      <c r="T113" s="610">
        <f t="shared" ref="T113:U113" si="157">T83/T71*T63</f>
        <v>5.6368579955362232E-3</v>
      </c>
      <c r="U113" s="610">
        <f t="shared" si="157"/>
        <v>5.3093295519313355E-3</v>
      </c>
      <c r="V113" s="370"/>
      <c r="W113" s="370"/>
      <c r="X113" s="370"/>
      <c r="AG113" s="370">
        <v>4</v>
      </c>
      <c r="AH113" s="596">
        <v>1.0595903663161512</v>
      </c>
      <c r="AI113" s="596">
        <v>0.63763259333745503</v>
      </c>
      <c r="AJ113" s="596">
        <v>0.36015005252527071</v>
      </c>
      <c r="AK113" s="596">
        <v>0.14286689607745726</v>
      </c>
      <c r="AL113" s="596"/>
      <c r="AM113" s="596">
        <v>0.71305914198621112</v>
      </c>
      <c r="AN113" s="596"/>
      <c r="AO113" s="596">
        <v>0.35349697603881752</v>
      </c>
      <c r="AP113" s="596">
        <v>0.49364193966927694</v>
      </c>
      <c r="AQ113" s="596">
        <v>3.779283016490445</v>
      </c>
      <c r="AR113" s="596">
        <v>0.92114647541509476</v>
      </c>
    </row>
    <row r="114" spans="2:44">
      <c r="D114" s="370" t="s">
        <v>896</v>
      </c>
      <c r="E114" s="595">
        <f t="shared" ref="E114:S114" si="158">-(E73+E74)/AE$54</f>
        <v>-1.348324750814401</v>
      </c>
      <c r="F114" s="595">
        <f t="shared" si="158"/>
        <v>-0.54338673227228906</v>
      </c>
      <c r="G114" s="595">
        <f t="shared" si="158"/>
        <v>-0.6219591375194069</v>
      </c>
      <c r="H114" s="595">
        <f t="shared" si="158"/>
        <v>-0.68005809231960601</v>
      </c>
      <c r="I114" s="595">
        <f t="shared" si="158"/>
        <v>-0.7988051450451088</v>
      </c>
      <c r="J114" s="595">
        <f t="shared" si="158"/>
        <v>-0.54338673227228906</v>
      </c>
      <c r="K114" s="707">
        <f t="shared" si="158"/>
        <v>-0.6219591375194069</v>
      </c>
      <c r="L114" s="707">
        <f t="shared" si="158"/>
        <v>-0.68005809231960601</v>
      </c>
      <c r="M114" s="707">
        <f t="shared" si="158"/>
        <v>-0.7988051450451088</v>
      </c>
      <c r="N114" s="707">
        <f t="shared" si="158"/>
        <v>-0.5489172695743828</v>
      </c>
      <c r="O114" s="707">
        <f t="shared" si="158"/>
        <v>-0.63614688524854601</v>
      </c>
      <c r="P114" s="610">
        <f t="shared" si="158"/>
        <v>-0.69661397659150426</v>
      </c>
      <c r="Q114" s="610">
        <f t="shared" si="158"/>
        <v>-0.79158445658498278</v>
      </c>
      <c r="R114" s="610">
        <f t="shared" si="158"/>
        <v>-0.5489172695743828</v>
      </c>
      <c r="S114" s="610">
        <f t="shared" si="158"/>
        <v>-0.63614688524854601</v>
      </c>
      <c r="T114" s="610">
        <f t="shared" ref="T114:U114" si="159">-(T73+T74)/AT$54</f>
        <v>-0.69661397659150426</v>
      </c>
      <c r="U114" s="610">
        <f t="shared" si="159"/>
        <v>-0.79158445658498278</v>
      </c>
      <c r="V114" s="370"/>
      <c r="W114" s="370"/>
      <c r="X114" s="370"/>
      <c r="AG114" s="370">
        <v>4.5</v>
      </c>
      <c r="AH114" s="596">
        <v>0.95896319367313476</v>
      </c>
      <c r="AI114" s="596">
        <v>0.52245497527830587</v>
      </c>
      <c r="AJ114" s="596">
        <v>0.23421336876238086</v>
      </c>
      <c r="AK114" s="596">
        <v>-5.0599826345999969E-3</v>
      </c>
      <c r="AL114" s="596"/>
      <c r="AM114" s="596">
        <v>0.58766605220366785</v>
      </c>
      <c r="AN114" s="596"/>
      <c r="AO114" s="596">
        <v>0.35349697603881752</v>
      </c>
      <c r="AP114" s="596">
        <v>0.49364193966927694</v>
      </c>
      <c r="AQ114" s="596">
        <v>3.779283016490445</v>
      </c>
      <c r="AR114" s="596">
        <v>0.92114647541509476</v>
      </c>
    </row>
    <row r="115" spans="2:44">
      <c r="D115" s="370" t="s">
        <v>897</v>
      </c>
      <c r="E115" s="595">
        <f t="shared" ref="E115:S122" si="160">-E75/AE$54</f>
        <v>-3.4338977623991393E-2</v>
      </c>
      <c r="F115" s="595">
        <f t="shared" si="160"/>
        <v>-5.4760577003244585E-3</v>
      </c>
      <c r="G115" s="595">
        <f t="shared" si="160"/>
        <v>-9.9636975963702211E-3</v>
      </c>
      <c r="H115" s="595">
        <f t="shared" si="160"/>
        <v>-1.6548110850575552E-2</v>
      </c>
      <c r="I115" s="595">
        <f t="shared" si="160"/>
        <v>-2.6341421958585087E-2</v>
      </c>
      <c r="J115" s="595">
        <f t="shared" si="160"/>
        <v>-5.4760577003244585E-3</v>
      </c>
      <c r="K115" s="707">
        <f t="shared" si="160"/>
        <v>-9.9636975963702211E-3</v>
      </c>
      <c r="L115" s="707">
        <f t="shared" si="160"/>
        <v>-1.6548110850575552E-2</v>
      </c>
      <c r="M115" s="707">
        <f t="shared" si="160"/>
        <v>-2.6341421958585087E-2</v>
      </c>
      <c r="N115" s="707">
        <f t="shared" si="160"/>
        <v>-5.4757468392632007E-3</v>
      </c>
      <c r="O115" s="707">
        <f t="shared" si="160"/>
        <v>-9.9622302172339382E-3</v>
      </c>
      <c r="P115" s="610">
        <f t="shared" si="160"/>
        <v>-1.6544162125645159E-2</v>
      </c>
      <c r="Q115" s="610">
        <f t="shared" si="160"/>
        <v>-2.5942652221859652E-2</v>
      </c>
      <c r="R115" s="610">
        <f t="shared" si="160"/>
        <v>-5.4757468392632007E-3</v>
      </c>
      <c r="S115" s="610">
        <f t="shared" si="160"/>
        <v>-9.9622302172339382E-3</v>
      </c>
      <c r="T115" s="610">
        <f t="shared" ref="T115:U115" si="161">-T75/AT$54</f>
        <v>-1.6544162125645159E-2</v>
      </c>
      <c r="U115" s="610">
        <f t="shared" si="161"/>
        <v>-2.5942652221859652E-2</v>
      </c>
      <c r="V115" s="370"/>
      <c r="W115" s="370"/>
      <c r="X115" s="370"/>
    </row>
    <row r="116" spans="2:44">
      <c r="D116" s="370" t="s">
        <v>898</v>
      </c>
      <c r="E116" s="595">
        <f t="shared" si="160"/>
        <v>-0.11815920637646769</v>
      </c>
      <c r="F116" s="595">
        <f t="shared" si="160"/>
        <v>-5.895869955695146E-2</v>
      </c>
      <c r="G116" s="595">
        <f t="shared" si="160"/>
        <v>-8.9310760465522915E-2</v>
      </c>
      <c r="H116" s="595">
        <f t="shared" si="160"/>
        <v>-0.12131539456297778</v>
      </c>
      <c r="I116" s="595">
        <f t="shared" si="160"/>
        <v>-0.17029359661998092</v>
      </c>
      <c r="J116" s="595">
        <f t="shared" si="160"/>
        <v>-5.895869955695146E-2</v>
      </c>
      <c r="K116" s="707">
        <f t="shared" si="160"/>
        <v>-8.9310760465522915E-2</v>
      </c>
      <c r="L116" s="707">
        <f t="shared" si="160"/>
        <v>-0.12131539456297778</v>
      </c>
      <c r="M116" s="707">
        <f t="shared" si="160"/>
        <v>-0.17029359661998092</v>
      </c>
      <c r="N116" s="707">
        <f t="shared" si="160"/>
        <v>-5.8957672953158291E-2</v>
      </c>
      <c r="O116" s="707">
        <f t="shared" si="160"/>
        <v>-8.9300892627455802E-2</v>
      </c>
      <c r="P116" s="610">
        <f t="shared" si="160"/>
        <v>-0.12131390244193481</v>
      </c>
      <c r="Q116" s="610">
        <f t="shared" si="160"/>
        <v>-0.16847724927458285</v>
      </c>
      <c r="R116" s="610">
        <f t="shared" si="160"/>
        <v>-5.8957672953158291E-2</v>
      </c>
      <c r="S116" s="610">
        <f t="shared" si="160"/>
        <v>-8.9300892627455802E-2</v>
      </c>
      <c r="T116" s="610">
        <f t="shared" ref="T116:U116" si="162">-T76/AT$54</f>
        <v>-0.12131390244193481</v>
      </c>
      <c r="U116" s="610">
        <f t="shared" si="162"/>
        <v>-0.16847724927458285</v>
      </c>
      <c r="V116" s="370"/>
      <c r="W116" s="370"/>
      <c r="X116" s="370"/>
      <c r="AH116" s="379"/>
      <c r="AI116" s="379"/>
      <c r="AJ116" s="379"/>
      <c r="AK116" s="379"/>
      <c r="AL116" s="379"/>
      <c r="AM116" s="379">
        <f>AM92</f>
        <v>1.997022474660034</v>
      </c>
      <c r="AN116" s="379"/>
      <c r="AO116" s="379"/>
      <c r="AP116" s="379"/>
      <c r="AQ116" s="379"/>
      <c r="AR116" s="379"/>
    </row>
    <row r="117" spans="2:44">
      <c r="D117" s="370" t="s">
        <v>899</v>
      </c>
      <c r="E117" s="595">
        <f t="shared" si="160"/>
        <v>0</v>
      </c>
      <c r="F117" s="595">
        <f t="shared" si="160"/>
        <v>-1.6840268938956869E-2</v>
      </c>
      <c r="G117" s="595">
        <f t="shared" si="160"/>
        <v>-1.4043735345025217E-2</v>
      </c>
      <c r="H117" s="595">
        <f t="shared" si="160"/>
        <v>-1.4618084511545434E-2</v>
      </c>
      <c r="I117" s="595">
        <f t="shared" si="160"/>
        <v>-1.1382206538552033E-2</v>
      </c>
      <c r="J117" s="595">
        <f t="shared" si="160"/>
        <v>-1.6840268938956869E-2</v>
      </c>
      <c r="K117" s="707">
        <f t="shared" si="160"/>
        <v>-1.4043735345025217E-2</v>
      </c>
      <c r="L117" s="707">
        <f t="shared" si="160"/>
        <v>-1.4618084511545434E-2</v>
      </c>
      <c r="M117" s="707">
        <f t="shared" si="160"/>
        <v>-1.1382206538552033E-2</v>
      </c>
      <c r="N117" s="707">
        <f t="shared" si="160"/>
        <v>-1.6840592444180048E-2</v>
      </c>
      <c r="O117" s="707">
        <f t="shared" si="160"/>
        <v>-1.4045826037937524E-2</v>
      </c>
      <c r="P117" s="610">
        <f t="shared" si="160"/>
        <v>-1.4619162238952607E-2</v>
      </c>
      <c r="Q117" s="610">
        <f t="shared" si="160"/>
        <v>-1.6910939473865984E-2</v>
      </c>
      <c r="R117" s="610">
        <f t="shared" si="160"/>
        <v>-1.6840592444180048E-2</v>
      </c>
      <c r="S117" s="610">
        <f t="shared" si="160"/>
        <v>-1.4045826037937524E-2</v>
      </c>
      <c r="T117" s="610">
        <f t="shared" ref="T117:U117" si="163">-T77/AT$54</f>
        <v>-1.4619162238952607E-2</v>
      </c>
      <c r="U117" s="610">
        <f t="shared" si="163"/>
        <v>-1.6910939473865984E-2</v>
      </c>
      <c r="V117" s="370"/>
      <c r="W117" s="370"/>
      <c r="X117" s="370"/>
      <c r="AG117" s="797" t="s">
        <v>1112</v>
      </c>
      <c r="AH117" s="370" t="s">
        <v>1037</v>
      </c>
      <c r="AI117" s="370" t="s">
        <v>1036</v>
      </c>
      <c r="AJ117" s="370" t="s">
        <v>1035</v>
      </c>
      <c r="AK117" s="370" t="s">
        <v>1034</v>
      </c>
      <c r="AM117" s="573" t="s">
        <v>1053</v>
      </c>
      <c r="AO117" s="370" t="s">
        <v>923</v>
      </c>
      <c r="AP117" s="370" t="s">
        <v>925</v>
      </c>
      <c r="AQ117" s="370" t="s">
        <v>1038</v>
      </c>
      <c r="AR117" s="370" t="s">
        <v>1046</v>
      </c>
    </row>
    <row r="118" spans="2:44">
      <c r="E118" s="595"/>
      <c r="F118" s="595"/>
      <c r="G118" s="595"/>
      <c r="H118" s="595"/>
      <c r="I118" s="595"/>
      <c r="J118" s="595"/>
      <c r="K118" s="707"/>
      <c r="L118" s="707"/>
      <c r="M118" s="707"/>
      <c r="N118" s="707">
        <f t="shared" si="160"/>
        <v>0</v>
      </c>
      <c r="O118" s="707">
        <f t="shared" si="160"/>
        <v>0</v>
      </c>
      <c r="P118" s="610">
        <f t="shared" si="160"/>
        <v>0</v>
      </c>
      <c r="Q118" s="610">
        <f t="shared" si="160"/>
        <v>0</v>
      </c>
      <c r="R118" s="610">
        <f t="shared" si="160"/>
        <v>0</v>
      </c>
      <c r="S118" s="610">
        <f t="shared" si="160"/>
        <v>0</v>
      </c>
      <c r="T118" s="610">
        <f t="shared" ref="T118:U118" si="164">-T78/AT$54</f>
        <v>0</v>
      </c>
      <c r="U118" s="610">
        <f t="shared" si="164"/>
        <v>0</v>
      </c>
      <c r="V118" s="370"/>
      <c r="W118" s="370"/>
      <c r="X118" s="370"/>
      <c r="AG118" s="798" t="s">
        <v>1113</v>
      </c>
      <c r="AH118" s="682">
        <v>0.9599816704640497</v>
      </c>
      <c r="AI118" s="682">
        <v>0.53265811285914832</v>
      </c>
      <c r="AJ118" s="682">
        <v>0.25297772500910259</v>
      </c>
      <c r="AK118" s="682">
        <v>1.1398261102723638E-2</v>
      </c>
      <c r="AL118" s="682"/>
      <c r="AM118" s="682">
        <v>-0.27549740070744366</v>
      </c>
      <c r="AN118" s="682"/>
      <c r="AO118" s="682">
        <v>0.35349697603881752</v>
      </c>
      <c r="AP118" s="682">
        <v>0.49364193966927694</v>
      </c>
      <c r="AQ118" s="682">
        <v>3.779283016490445</v>
      </c>
      <c r="AR118" s="682">
        <v>0.86460247541509494</v>
      </c>
    </row>
    <row r="119" spans="2:44">
      <c r="D119" s="525" t="s">
        <v>935</v>
      </c>
      <c r="E119" s="595">
        <f t="shared" ref="E119:M119" si="165">-E79/AE$54</f>
        <v>0</v>
      </c>
      <c r="F119" s="595">
        <f t="shared" si="165"/>
        <v>0</v>
      </c>
      <c r="G119" s="595">
        <f t="shared" si="165"/>
        <v>0</v>
      </c>
      <c r="H119" s="595">
        <f t="shared" si="165"/>
        <v>0</v>
      </c>
      <c r="I119" s="595">
        <f t="shared" si="165"/>
        <v>0</v>
      </c>
      <c r="J119" s="595">
        <f t="shared" si="165"/>
        <v>-0.12805075292903281</v>
      </c>
      <c r="K119" s="707">
        <f t="shared" si="165"/>
        <v>-0.11988664428572704</v>
      </c>
      <c r="L119" s="707">
        <f t="shared" si="165"/>
        <v>-0.10902534562583889</v>
      </c>
      <c r="M119" s="707">
        <f t="shared" si="165"/>
        <v>-0.11244904122060595</v>
      </c>
      <c r="N119" s="707">
        <f t="shared" si="160"/>
        <v>0</v>
      </c>
      <c r="O119" s="707">
        <f t="shared" si="160"/>
        <v>0</v>
      </c>
      <c r="P119" s="610">
        <f t="shared" si="160"/>
        <v>0</v>
      </c>
      <c r="Q119" s="610">
        <f t="shared" si="160"/>
        <v>0</v>
      </c>
      <c r="R119" s="610">
        <f t="shared" si="160"/>
        <v>-3.6297053762384033E-3</v>
      </c>
      <c r="S119" s="610">
        <f t="shared" si="160"/>
        <v>-9.6540753554447134E-3</v>
      </c>
      <c r="T119" s="610">
        <f t="shared" ref="T119:U119" si="166">-T79/AT$54</f>
        <v>-1.1050133641274225E-2</v>
      </c>
      <c r="U119" s="610">
        <f t="shared" si="166"/>
        <v>-1.9253269863511075E-2</v>
      </c>
      <c r="V119" s="370"/>
      <c r="W119" s="370"/>
      <c r="X119" s="370"/>
      <c r="AG119" s="370">
        <v>0.04</v>
      </c>
      <c r="AH119" s="682">
        <v>0.9599816704640497</v>
      </c>
      <c r="AI119" s="682">
        <v>0.53265811285914832</v>
      </c>
      <c r="AJ119" s="682">
        <v>0.25297772500910259</v>
      </c>
      <c r="AK119" s="682">
        <v>1.1398261102723638E-2</v>
      </c>
      <c r="AL119" s="682"/>
      <c r="AM119" s="682">
        <v>-1.2051123951678136E-2</v>
      </c>
      <c r="AN119" s="682"/>
      <c r="AO119" s="682">
        <v>0.35349697603881752</v>
      </c>
      <c r="AP119" s="682">
        <v>0.49364193966927694</v>
      </c>
      <c r="AQ119" s="682">
        <v>3.779283016490445</v>
      </c>
      <c r="AR119" s="682">
        <v>0.86460247541509494</v>
      </c>
    </row>
    <row r="120" spans="2:44">
      <c r="D120" s="798"/>
      <c r="E120" s="595"/>
      <c r="F120" s="595"/>
      <c r="G120" s="595"/>
      <c r="H120" s="595"/>
      <c r="I120" s="595"/>
      <c r="J120" s="595"/>
      <c r="K120" s="707"/>
      <c r="L120" s="707"/>
      <c r="M120" s="707"/>
      <c r="N120" s="707">
        <f t="shared" si="160"/>
        <v>0</v>
      </c>
      <c r="O120" s="707">
        <f t="shared" si="160"/>
        <v>0</v>
      </c>
      <c r="P120" s="610">
        <f t="shared" si="160"/>
        <v>0</v>
      </c>
      <c r="Q120" s="610">
        <f t="shared" si="160"/>
        <v>0</v>
      </c>
      <c r="R120" s="610">
        <f t="shared" si="160"/>
        <v>0</v>
      </c>
      <c r="S120" s="610">
        <f t="shared" si="160"/>
        <v>0</v>
      </c>
      <c r="T120" s="610">
        <f t="shared" ref="T120:U120" si="167">-T80/AT$54</f>
        <v>0</v>
      </c>
      <c r="U120" s="610">
        <f t="shared" si="167"/>
        <v>0</v>
      </c>
      <c r="V120" s="370"/>
      <c r="W120" s="370"/>
      <c r="X120" s="370"/>
      <c r="AG120" s="640">
        <v>0.06</v>
      </c>
      <c r="AH120" s="682">
        <v>0.9599816704640497</v>
      </c>
      <c r="AI120" s="682">
        <v>0.53265811285914832</v>
      </c>
      <c r="AJ120" s="682">
        <v>0.25297772500910259</v>
      </c>
      <c r="AK120" s="682">
        <v>1.1398261102723638E-2</v>
      </c>
      <c r="AL120" s="682"/>
      <c r="AM120" s="682">
        <v>0.25139515280408709</v>
      </c>
      <c r="AN120" s="682"/>
      <c r="AO120" s="682">
        <v>0.35349697603881752</v>
      </c>
      <c r="AP120" s="682">
        <v>0.49364193966927694</v>
      </c>
      <c r="AQ120" s="682">
        <v>3.779283016490445</v>
      </c>
      <c r="AR120" s="682">
        <v>0.86460247541509494</v>
      </c>
    </row>
    <row r="121" spans="2:44">
      <c r="D121" s="573"/>
      <c r="E121" s="595"/>
      <c r="F121" s="595"/>
      <c r="G121" s="595"/>
      <c r="H121" s="595"/>
      <c r="I121" s="595"/>
      <c r="J121" s="595"/>
      <c r="K121" s="707"/>
      <c r="L121" s="707"/>
      <c r="M121" s="707"/>
      <c r="N121" s="707">
        <f t="shared" si="160"/>
        <v>0</v>
      </c>
      <c r="O121" s="707">
        <f t="shared" si="160"/>
        <v>0</v>
      </c>
      <c r="P121" s="610">
        <f t="shared" si="160"/>
        <v>0</v>
      </c>
      <c r="Q121" s="610">
        <f t="shared" si="160"/>
        <v>0</v>
      </c>
      <c r="R121" s="610">
        <f t="shared" si="160"/>
        <v>0</v>
      </c>
      <c r="S121" s="610">
        <f t="shared" si="160"/>
        <v>0</v>
      </c>
      <c r="T121" s="610">
        <f t="shared" ref="T121:U121" si="168">-T81/AT$54</f>
        <v>0</v>
      </c>
      <c r="U121" s="610">
        <f t="shared" si="168"/>
        <v>0</v>
      </c>
      <c r="V121" s="370"/>
      <c r="W121" s="370"/>
      <c r="X121" s="370"/>
      <c r="AG121" s="370">
        <v>0.08</v>
      </c>
      <c r="AH121" s="682">
        <v>0.95998167046405003</v>
      </c>
      <c r="AI121" s="682">
        <v>0.53265811285914799</v>
      </c>
      <c r="AJ121" s="682">
        <v>0.25297772500910298</v>
      </c>
      <c r="AK121" s="682">
        <v>1.13982611027236E-2</v>
      </c>
      <c r="AL121" s="682"/>
      <c r="AM121" s="682">
        <v>0.51484142955985268</v>
      </c>
      <c r="AN121" s="682"/>
      <c r="AO121" s="682">
        <v>0.35349697603881752</v>
      </c>
      <c r="AP121" s="682">
        <v>0.49364193966927694</v>
      </c>
      <c r="AQ121" s="682">
        <v>3.779283016490445</v>
      </c>
      <c r="AR121" s="682">
        <v>0.86460247541509494</v>
      </c>
    </row>
    <row r="122" spans="2:44">
      <c r="D122" s="573"/>
      <c r="E122" s="595"/>
      <c r="F122" s="595"/>
      <c r="G122" s="595"/>
      <c r="H122" s="595"/>
      <c r="I122" s="595"/>
      <c r="J122" s="595"/>
      <c r="K122" s="707"/>
      <c r="L122" s="707"/>
      <c r="M122" s="707"/>
      <c r="N122" s="707">
        <f t="shared" si="160"/>
        <v>0</v>
      </c>
      <c r="O122" s="707">
        <f t="shared" si="160"/>
        <v>0</v>
      </c>
      <c r="P122" s="610">
        <f t="shared" si="160"/>
        <v>0</v>
      </c>
      <c r="Q122" s="610">
        <f t="shared" si="160"/>
        <v>0</v>
      </c>
      <c r="R122" s="610">
        <f t="shared" si="160"/>
        <v>0</v>
      </c>
      <c r="S122" s="610">
        <f t="shared" si="160"/>
        <v>0</v>
      </c>
      <c r="T122" s="610">
        <f t="shared" ref="T122:U122" si="169">-T82/AT$54</f>
        <v>0</v>
      </c>
      <c r="U122" s="610">
        <f t="shared" si="169"/>
        <v>0</v>
      </c>
      <c r="V122" s="370"/>
      <c r="W122" s="370"/>
      <c r="X122" s="370"/>
      <c r="AG122" s="640">
        <v>0.1</v>
      </c>
      <c r="AH122" s="682">
        <v>0.95998167046405003</v>
      </c>
      <c r="AI122" s="682">
        <v>0.53265811285914799</v>
      </c>
      <c r="AJ122" s="682">
        <v>0.25297772500910298</v>
      </c>
      <c r="AK122" s="682">
        <v>1.13982611027236E-2</v>
      </c>
      <c r="AL122" s="682"/>
      <c r="AM122" s="682">
        <v>0.77828770631561839</v>
      </c>
      <c r="AN122" s="682"/>
      <c r="AO122" s="682">
        <v>0.35349697603881752</v>
      </c>
      <c r="AP122" s="682">
        <v>0.49364193966927694</v>
      </c>
      <c r="AQ122" s="682">
        <v>3.779283016490445</v>
      </c>
      <c r="AR122" s="682">
        <v>0.86460247541509494</v>
      </c>
    </row>
    <row r="123" spans="2:44">
      <c r="D123" s="370" t="s">
        <v>892</v>
      </c>
      <c r="E123" s="514" t="e">
        <f t="shared" ref="E123:N123" si="170">E83</f>
        <v>#REF!</v>
      </c>
      <c r="F123" s="514">
        <f t="shared" si="170"/>
        <v>1.3609617161623091</v>
      </c>
      <c r="G123" s="514">
        <f t="shared" si="170"/>
        <v>0.96749585756636014</v>
      </c>
      <c r="H123" s="514">
        <f t="shared" si="170"/>
        <v>0.72068959384802156</v>
      </c>
      <c r="I123" s="514">
        <f t="shared" si="170"/>
        <v>0.56337252106168501</v>
      </c>
      <c r="J123" s="514">
        <f t="shared" si="170"/>
        <v>1.3942778387902897</v>
      </c>
      <c r="K123" s="708">
        <f t="shared" si="170"/>
        <v>1.0032879788399702</v>
      </c>
      <c r="L123" s="708">
        <f t="shared" si="170"/>
        <v>0.75205859641615036</v>
      </c>
      <c r="M123" s="708">
        <f t="shared" si="170"/>
        <v>0.59329514595164234</v>
      </c>
      <c r="N123" s="708">
        <f t="shared" si="170"/>
        <v>1.997022474660034</v>
      </c>
      <c r="O123" s="708">
        <f t="shared" ref="O123" si="171">O83</f>
        <v>1.4898575732573334</v>
      </c>
      <c r="P123" s="611">
        <f>P83</f>
        <v>1.1551570492586223</v>
      </c>
      <c r="Q123" s="611">
        <f>Q83</f>
        <v>0.97129428910852256</v>
      </c>
      <c r="R123" s="611">
        <f>R83</f>
        <v>1.9983469610347524</v>
      </c>
      <c r="S123" s="611">
        <f>S83</f>
        <v>1.4901819654185213</v>
      </c>
      <c r="T123" s="611">
        <f t="shared" ref="T123:U123" si="172">T83</f>
        <v>1.1566248550832494</v>
      </c>
      <c r="U123" s="611">
        <f t="shared" si="172"/>
        <v>0.98078647319772938</v>
      </c>
      <c r="V123" s="370"/>
      <c r="W123" s="370"/>
      <c r="X123" s="370"/>
      <c r="AG123" s="370">
        <v>0.12</v>
      </c>
      <c r="AH123" s="682">
        <v>0.95998167046405003</v>
      </c>
      <c r="AI123" s="682">
        <v>0.53265811285914799</v>
      </c>
      <c r="AJ123" s="682">
        <v>0.25297772500910298</v>
      </c>
      <c r="AK123" s="682">
        <v>1.13982611027236E-2</v>
      </c>
      <c r="AL123" s="682"/>
      <c r="AM123" s="682">
        <v>1.0417339830713834</v>
      </c>
      <c r="AN123" s="682"/>
      <c r="AO123" s="682">
        <v>0.35349697603881752</v>
      </c>
      <c r="AP123" s="682">
        <v>0.49364193966927694</v>
      </c>
      <c r="AQ123" s="682">
        <v>3.779283016490445</v>
      </c>
      <c r="AR123" s="682">
        <v>0.86460247541509494</v>
      </c>
    </row>
    <row r="124" spans="2:44">
      <c r="E124" s="594" t="e">
        <f>SUM(E110:E113)</f>
        <v>#REF!</v>
      </c>
      <c r="F124" s="594">
        <f t="shared" ref="F124:S124" si="173">SUM(F110:F113)</f>
        <v>1.3609617161623091</v>
      </c>
      <c r="G124" s="594">
        <f t="shared" si="173"/>
        <v>0.96749585756636003</v>
      </c>
      <c r="H124" s="594">
        <f t="shared" si="173"/>
        <v>0.72068959384802156</v>
      </c>
      <c r="I124" s="594">
        <f t="shared" si="173"/>
        <v>0.56337252106168501</v>
      </c>
      <c r="J124" s="594">
        <f t="shared" si="173"/>
        <v>1.3942778387902897</v>
      </c>
      <c r="K124" s="706">
        <f>SUM(K110:K113)</f>
        <v>1.0032879788399702</v>
      </c>
      <c r="L124" s="706">
        <f>SUM(L110:L113)</f>
        <v>0.75205859641615047</v>
      </c>
      <c r="M124" s="706">
        <f>SUM(M110:M113)</f>
        <v>0.59329514595164246</v>
      </c>
      <c r="N124" s="706">
        <f t="shared" si="173"/>
        <v>1.9970224746600342</v>
      </c>
      <c r="O124" s="706">
        <f t="shared" ref="O124" si="174">SUM(O110:O113)</f>
        <v>1.4898575732573336</v>
      </c>
      <c r="P124" s="612">
        <f t="shared" si="173"/>
        <v>1.1551570492586223</v>
      </c>
      <c r="Q124" s="612">
        <f t="shared" si="173"/>
        <v>0.97129428910852278</v>
      </c>
      <c r="R124" s="612">
        <f t="shared" si="173"/>
        <v>1.9983469610347524</v>
      </c>
      <c r="S124" s="612">
        <f t="shared" si="173"/>
        <v>1.4901819654185211</v>
      </c>
      <c r="T124" s="612">
        <f t="shared" ref="T124:U124" si="175">SUM(T110:T113)</f>
        <v>1.1566248550832494</v>
      </c>
      <c r="U124" s="612">
        <f t="shared" si="175"/>
        <v>0.98078647319772938</v>
      </c>
      <c r="V124" s="370"/>
      <c r="W124" s="370"/>
      <c r="X124" s="370"/>
      <c r="AG124" s="640">
        <v>0.14000000000000001</v>
      </c>
      <c r="AH124" s="682">
        <v>0.95998167046405003</v>
      </c>
      <c r="AI124" s="682">
        <v>0.53265811285914799</v>
      </c>
      <c r="AJ124" s="682">
        <v>0.25297772500910298</v>
      </c>
      <c r="AK124" s="682">
        <v>1.13982611027236E-2</v>
      </c>
      <c r="AL124" s="682"/>
      <c r="AM124" s="682">
        <v>1.3051802598271496</v>
      </c>
      <c r="AN124" s="682"/>
      <c r="AO124" s="682">
        <v>0.35349697603881752</v>
      </c>
      <c r="AP124" s="682">
        <v>0.49364193966927694</v>
      </c>
      <c r="AQ124" s="682">
        <v>3.779283016490445</v>
      </c>
      <c r="AR124" s="682">
        <v>0.86460247541509494</v>
      </c>
    </row>
    <row r="125" spans="2:44">
      <c r="E125" s="594" t="e">
        <f>E123-SUM(E114:E122)</f>
        <v>#REF!</v>
      </c>
      <c r="F125" s="594">
        <f t="shared" ref="F125:S125" si="176">F123-SUM(F114:F122)</f>
        <v>1.985623474630831</v>
      </c>
      <c r="G125" s="594">
        <f t="shared" si="176"/>
        <v>1.7027731884926853</v>
      </c>
      <c r="H125" s="594">
        <f t="shared" si="176"/>
        <v>1.5532292760927264</v>
      </c>
      <c r="I125" s="594">
        <f t="shared" si="176"/>
        <v>1.5701948912239119</v>
      </c>
      <c r="J125" s="594">
        <f t="shared" si="176"/>
        <v>2.1469903501878442</v>
      </c>
      <c r="K125" s="706">
        <f>K123-SUM(K114:K122)</f>
        <v>1.8584519540520223</v>
      </c>
      <c r="L125" s="706">
        <f>L123-SUM(L114:L122)</f>
        <v>1.693623624286694</v>
      </c>
      <c r="M125" s="706">
        <f>M123-SUM(M114:M122)</f>
        <v>1.7125665573344748</v>
      </c>
      <c r="N125" s="706">
        <f t="shared" si="176"/>
        <v>2.6272137564710185</v>
      </c>
      <c r="O125" s="706">
        <f t="shared" ref="O125" si="177">O123-SUM(O114:O122)</f>
        <v>2.2393134073885066</v>
      </c>
      <c r="P125" s="612">
        <f t="shared" si="176"/>
        <v>2.0042482526566592</v>
      </c>
      <c r="Q125" s="612">
        <f t="shared" si="176"/>
        <v>1.9742095866638139</v>
      </c>
      <c r="R125" s="612">
        <f t="shared" si="176"/>
        <v>2.6321679482219751</v>
      </c>
      <c r="S125" s="612">
        <f t="shared" si="176"/>
        <v>2.2492918749051394</v>
      </c>
      <c r="T125" s="612">
        <f t="shared" ref="T125:U125" si="178">T123-SUM(T114:T122)</f>
        <v>2.0167661921225606</v>
      </c>
      <c r="U125" s="612">
        <f t="shared" si="178"/>
        <v>2.0029550406165315</v>
      </c>
      <c r="V125" s="370"/>
      <c r="W125" s="370"/>
      <c r="X125" s="370"/>
      <c r="AH125" s="682"/>
      <c r="AI125" s="682"/>
      <c r="AJ125" s="682"/>
      <c r="AK125" s="682"/>
      <c r="AL125" s="682"/>
      <c r="AM125" s="682"/>
      <c r="AN125" s="682"/>
      <c r="AO125" s="682"/>
      <c r="AP125" s="682"/>
      <c r="AQ125" s="682"/>
      <c r="AR125" s="682"/>
    </row>
    <row r="126" spans="2:44">
      <c r="F126" s="370">
        <f>F114*0.8</f>
        <v>-0.43470938581783125</v>
      </c>
      <c r="G126" s="370">
        <f t="shared" ref="G126:I126" si="179">G114*0.8</f>
        <v>-0.49756731001552557</v>
      </c>
      <c r="H126" s="370">
        <f t="shared" si="179"/>
        <v>-0.54404647385568483</v>
      </c>
      <c r="I126" s="370">
        <f t="shared" si="179"/>
        <v>-0.63904411603608713</v>
      </c>
      <c r="J126" s="370"/>
      <c r="K126" s="370"/>
      <c r="L126" s="370"/>
      <c r="M126" s="370"/>
      <c r="N126" s="705"/>
      <c r="O126" s="705"/>
      <c r="P126" s="548"/>
      <c r="Q126" s="548"/>
      <c r="R126" s="610"/>
      <c r="S126" s="610"/>
      <c r="T126" s="493"/>
      <c r="U126" s="493"/>
      <c r="V126" s="370"/>
      <c r="W126" s="370"/>
      <c r="X126" s="370"/>
    </row>
    <row r="127" spans="2:44">
      <c r="I127" s="493"/>
      <c r="J127" s="493"/>
      <c r="K127" s="493"/>
      <c r="L127" s="493"/>
      <c r="M127" s="493"/>
      <c r="N127" s="705"/>
      <c r="O127" s="705"/>
      <c r="P127" s="548"/>
      <c r="Q127" s="548"/>
      <c r="R127" s="610"/>
      <c r="S127" s="610"/>
      <c r="T127" s="493"/>
      <c r="U127" s="493"/>
      <c r="V127" s="370"/>
      <c r="W127" s="370"/>
      <c r="X127" s="370"/>
    </row>
    <row r="128" spans="2:44">
      <c r="B128" s="522" t="s">
        <v>914</v>
      </c>
      <c r="D128" s="579" t="s">
        <v>918</v>
      </c>
      <c r="E128" s="580" t="s">
        <v>773</v>
      </c>
      <c r="F128" s="315" t="s">
        <v>1147</v>
      </c>
      <c r="G128" s="315" t="s">
        <v>1148</v>
      </c>
      <c r="H128" s="315" t="s">
        <v>1149</v>
      </c>
      <c r="I128" s="315" t="s">
        <v>1150</v>
      </c>
      <c r="J128" s="841" t="s">
        <v>1164</v>
      </c>
      <c r="K128" s="842" t="s">
        <v>1166</v>
      </c>
      <c r="L128" s="842" t="s">
        <v>1167</v>
      </c>
      <c r="M128" s="842" t="s">
        <v>1168</v>
      </c>
      <c r="N128" s="843" t="s">
        <v>1172</v>
      </c>
      <c r="O128" s="843" t="s">
        <v>1174</v>
      </c>
      <c r="P128" s="844" t="s">
        <v>1176</v>
      </c>
      <c r="Q128" s="844" t="s">
        <v>1178</v>
      </c>
      <c r="R128" s="845" t="s">
        <v>1180</v>
      </c>
      <c r="S128" s="845" t="s">
        <v>1182</v>
      </c>
      <c r="T128" s="845" t="s">
        <v>1184</v>
      </c>
      <c r="U128" s="845" t="s">
        <v>1186</v>
      </c>
      <c r="V128" s="370"/>
      <c r="W128" s="370"/>
      <c r="X128" s="370"/>
    </row>
    <row r="129" spans="2:24">
      <c r="B129" s="798">
        <v>2.5099999999999998</v>
      </c>
      <c r="C129" s="798">
        <v>0.44600000000000001</v>
      </c>
      <c r="D129" s="575" t="s">
        <v>933</v>
      </c>
      <c r="E129" s="576">
        <v>0</v>
      </c>
      <c r="F129" s="422">
        <f>$C129*'3. CEF &amp; EEF'!E6*8000</f>
        <v>754819917.88262403</v>
      </c>
      <c r="G129" s="422">
        <f>$C129*'3. CEF &amp; EEF'!F6*8000</f>
        <v>754819917.88262403</v>
      </c>
      <c r="H129" s="422">
        <f>$C129*'3. CEF &amp; EEF'!G6*8000</f>
        <v>754819917.88262403</v>
      </c>
      <c r="I129" s="422">
        <f>$C129*'3. CEF &amp; EEF'!H6*8000</f>
        <v>754819917.88262403</v>
      </c>
      <c r="J129" s="422">
        <f>$C129*'3. CEF &amp; EEF'!I6*8000</f>
        <v>754819917.88262403</v>
      </c>
      <c r="K129" s="422">
        <f>$C129*'3. CEF &amp; EEF'!J6*8000</f>
        <v>754819917.88262403</v>
      </c>
      <c r="L129" s="422">
        <f>$C129*'3. CEF &amp; EEF'!K6*8000</f>
        <v>754819917.88262403</v>
      </c>
      <c r="M129" s="422">
        <f>$C129*'3. CEF &amp; EEF'!L6*8000</f>
        <v>754819917.88262403</v>
      </c>
      <c r="N129" s="422">
        <f>$C129*'3. CEF &amp; EEF'!M6*8000</f>
        <v>754819917.88262403</v>
      </c>
      <c r="O129" s="422">
        <f>$C129*'3. CEF &amp; EEF'!N6*8000</f>
        <v>754819917.88262403</v>
      </c>
      <c r="P129" s="422">
        <f>$C129*'3. CEF &amp; EEF'!O6*8000</f>
        <v>754819917.88262403</v>
      </c>
      <c r="Q129" s="422">
        <f>$C129*'3. CEF &amp; EEF'!P6*8000</f>
        <v>754819917.88262403</v>
      </c>
      <c r="R129" s="422">
        <f>$C129*'3. CEF &amp; EEF'!Q6*8000</f>
        <v>754819917.88262403</v>
      </c>
      <c r="S129" s="422">
        <f>$C129*'3. CEF &amp; EEF'!R6*8000</f>
        <v>754819917.88262403</v>
      </c>
      <c r="T129" s="422">
        <f>$C129*'3. CEF &amp; EEF'!S6*8000</f>
        <v>754819917.88262403</v>
      </c>
      <c r="U129" s="422">
        <f>$C129*'3. CEF &amp; EEF'!T6*8000</f>
        <v>754819917.88262403</v>
      </c>
      <c r="V129" s="370"/>
      <c r="W129" s="370"/>
      <c r="X129" s="370"/>
    </row>
    <row r="130" spans="2:24">
      <c r="D130" s="575" t="s">
        <v>915</v>
      </c>
      <c r="E130" s="578">
        <f>(61262.3017470001)*8000</f>
        <v>490098413.97600079</v>
      </c>
      <c r="F130" s="861">
        <f>(16981.2345550203+596161.943982464)*8000</f>
        <v>4905145428.2998753</v>
      </c>
      <c r="G130" s="861">
        <f>(42329.1056855377+458810.332409931)*8000</f>
        <v>4009115504.7637496</v>
      </c>
      <c r="H130" s="861">
        <f>(45012.4687079324+380044.578769792)*8000</f>
        <v>3400456379.821795</v>
      </c>
      <c r="I130" s="861">
        <f>(69302.5648036897+329793.023490545)*8000</f>
        <v>3192764706.3538775</v>
      </c>
      <c r="J130" s="861">
        <f>(81714.1466249637)*8000</f>
        <v>653713172.99970961</v>
      </c>
      <c r="K130" s="861">
        <f>(43492.1237475472)*8000</f>
        <v>347936989.98037761</v>
      </c>
      <c r="L130" s="861">
        <f>(34392.1746009736)*8000</f>
        <v>275137396.80778879</v>
      </c>
      <c r="M130" s="862">
        <f>(39586.7923289689)*8000</f>
        <v>316694338.63175118</v>
      </c>
      <c r="N130" s="861">
        <f>(16981.2345550203)*8000</f>
        <v>135849876.44016239</v>
      </c>
      <c r="O130" s="861">
        <f>(42329.1056855377)*8000</f>
        <v>338632845.48430163</v>
      </c>
      <c r="P130" s="861">
        <f>(45012.4687079324)*8000</f>
        <v>360099749.66345918</v>
      </c>
      <c r="Q130" s="862">
        <f>(69302.5648036897)*8000</f>
        <v>554420518.42951763</v>
      </c>
      <c r="R130" s="861">
        <f>(1932.90522894271)*8000</f>
        <v>15463241.83154168</v>
      </c>
      <c r="S130" s="861">
        <f>(5513.71238816327)*8000</f>
        <v>44109699.105306156</v>
      </c>
      <c r="T130" s="861">
        <f>(5438.91737615984)*8000</f>
        <v>43511339.009278722</v>
      </c>
      <c r="U130" s="862">
        <f>(6821.28318358833)*8000</f>
        <v>54570265.468706638</v>
      </c>
      <c r="V130" s="370"/>
      <c r="W130" s="370"/>
      <c r="X130" s="370"/>
    </row>
    <row r="131" spans="2:24">
      <c r="D131" s="575" t="s">
        <v>916</v>
      </c>
      <c r="E131" s="576">
        <f t="shared" ref="E131" si="180">SUM(E132:E137)</f>
        <v>7894230035.6898918</v>
      </c>
      <c r="F131" s="576">
        <f>SUM(F132:F138)</f>
        <v>7052475844.2141657</v>
      </c>
      <c r="G131" s="576">
        <f t="shared" ref="G131:U131" si="181">SUM(G132:G138)</f>
        <v>5114769040.8612156</v>
      </c>
      <c r="H131" s="576">
        <f t="shared" si="181"/>
        <v>4381747537.0356922</v>
      </c>
      <c r="I131" s="576">
        <f t="shared" si="181"/>
        <v>3831271895.6306033</v>
      </c>
      <c r="J131" s="576">
        <f t="shared" si="181"/>
        <v>8246072774.0479937</v>
      </c>
      <c r="K131" s="576">
        <f t="shared" si="181"/>
        <v>6115097295.0124226</v>
      </c>
      <c r="L131" s="576">
        <f t="shared" si="181"/>
        <v>5204576714.5050144</v>
      </c>
      <c r="M131" s="576">
        <f t="shared" si="181"/>
        <v>4537824027.2213717</v>
      </c>
      <c r="N131" s="576">
        <f t="shared" si="181"/>
        <v>14050019866.849316</v>
      </c>
      <c r="O131" s="576">
        <f t="shared" si="181"/>
        <v>10561495819.634703</v>
      </c>
      <c r="P131" s="576">
        <f t="shared" si="181"/>
        <v>8841166174.977169</v>
      </c>
      <c r="Q131" s="576">
        <f t="shared" si="181"/>
        <v>7700268507.8993607</v>
      </c>
      <c r="R131" s="576">
        <f t="shared" si="181"/>
        <v>14084111015.98979</v>
      </c>
      <c r="S131" s="576">
        <f t="shared" si="181"/>
        <v>10639064358.157558</v>
      </c>
      <c r="T131" s="576">
        <f t="shared" si="181"/>
        <v>8921022228.8668251</v>
      </c>
      <c r="U131" s="576">
        <f t="shared" si="181"/>
        <v>7883348472.0444517</v>
      </c>
      <c r="V131" s="370"/>
      <c r="W131" s="370"/>
      <c r="X131" s="370"/>
    </row>
    <row r="132" spans="2:24">
      <c r="B132" s="370">
        <v>0.44</v>
      </c>
      <c r="C132">
        <v>0.44</v>
      </c>
      <c r="D132" s="358" t="s">
        <v>920</v>
      </c>
      <c r="E132" s="422">
        <f t="shared" ref="E132:S132" si="182">$C132*AE34</f>
        <v>3691026630.7199998</v>
      </c>
      <c r="F132" s="422">
        <f t="shared" si="182"/>
        <v>3414392960</v>
      </c>
      <c r="G132" s="422">
        <f t="shared" si="182"/>
        <v>2483638080</v>
      </c>
      <c r="H132" s="422">
        <f t="shared" si="182"/>
        <v>1799367680</v>
      </c>
      <c r="I132" s="422">
        <f t="shared" si="182"/>
        <v>1361958400</v>
      </c>
      <c r="J132" s="422">
        <f t="shared" si="182"/>
        <v>3625463909.7600002</v>
      </c>
      <c r="K132" s="422">
        <f t="shared" si="182"/>
        <v>2673522343.3600001</v>
      </c>
      <c r="L132" s="422">
        <f t="shared" si="182"/>
        <v>1961176243.8400004</v>
      </c>
      <c r="M132" s="422">
        <f>$C132*AM34</f>
        <v>1511372142.72</v>
      </c>
      <c r="N132" s="422">
        <f t="shared" si="182"/>
        <v>11187324466.849316</v>
      </c>
      <c r="O132" s="422">
        <f t="shared" si="182"/>
        <v>8527108399.6347027</v>
      </c>
      <c r="P132" s="550">
        <f t="shared" si="182"/>
        <v>6753084574.977169</v>
      </c>
      <c r="Q132" s="550">
        <f t="shared" si="182"/>
        <v>5659894473.0593605</v>
      </c>
      <c r="R132" s="550">
        <f t="shared" si="182"/>
        <v>11193580540.215715</v>
      </c>
      <c r="S132" s="550">
        <f t="shared" si="182"/>
        <v>8542412572.2107029</v>
      </c>
      <c r="T132" s="550">
        <f t="shared" ref="T132:U132" si="183">$C132*AT34</f>
        <v>6769535162.6251688</v>
      </c>
      <c r="U132" s="550">
        <f t="shared" si="183"/>
        <v>5685872270.5313597</v>
      </c>
      <c r="V132" s="370"/>
      <c r="W132" s="370"/>
      <c r="X132" s="370"/>
    </row>
    <row r="133" spans="2:24">
      <c r="B133" s="370">
        <v>0</v>
      </c>
      <c r="C133" s="370">
        <v>0</v>
      </c>
      <c r="D133" s="358" t="s">
        <v>921</v>
      </c>
      <c r="E133" s="422">
        <f t="shared" ref="E133:O133" si="184">$C133*AE35</f>
        <v>0</v>
      </c>
      <c r="F133" s="422">
        <f t="shared" si="184"/>
        <v>0</v>
      </c>
      <c r="G133" s="422">
        <f t="shared" si="184"/>
        <v>0</v>
      </c>
      <c r="H133" s="422">
        <f t="shared" si="184"/>
        <v>0</v>
      </c>
      <c r="I133" s="422">
        <f t="shared" si="184"/>
        <v>0</v>
      </c>
      <c r="J133" s="422">
        <f t="shared" si="184"/>
        <v>0</v>
      </c>
      <c r="K133" s="422">
        <f t="shared" si="184"/>
        <v>0</v>
      </c>
      <c r="L133" s="422">
        <f t="shared" si="184"/>
        <v>0</v>
      </c>
      <c r="M133" s="422">
        <f t="shared" si="184"/>
        <v>0</v>
      </c>
      <c r="N133" s="422">
        <f t="shared" si="184"/>
        <v>0</v>
      </c>
      <c r="O133" s="422">
        <f t="shared" si="184"/>
        <v>0</v>
      </c>
      <c r="P133" s="550">
        <f>$C133*AP34</f>
        <v>0</v>
      </c>
      <c r="Q133" s="550">
        <f>$C133*AQ35</f>
        <v>0</v>
      </c>
      <c r="R133" s="550">
        <f>$C133*AR35</f>
        <v>0</v>
      </c>
      <c r="S133" s="550">
        <f>$C133*AS35</f>
        <v>0</v>
      </c>
      <c r="T133" s="550">
        <f t="shared" ref="T133:U133" si="185">$C133*AT35</f>
        <v>0</v>
      </c>
      <c r="U133" s="550">
        <f t="shared" si="185"/>
        <v>0</v>
      </c>
      <c r="V133" s="370"/>
      <c r="W133" s="370"/>
      <c r="X133" s="370"/>
    </row>
    <row r="134" spans="2:24">
      <c r="B134" s="370">
        <v>0.34</v>
      </c>
      <c r="C134" s="370">
        <v>0.34</v>
      </c>
      <c r="D134" s="358" t="s">
        <v>924</v>
      </c>
      <c r="E134" s="422">
        <f t="shared" ref="E134:S134" si="186">$C134*AE37</f>
        <v>0</v>
      </c>
      <c r="F134" s="422">
        <f t="shared" si="186"/>
        <v>0</v>
      </c>
      <c r="G134" s="422">
        <f t="shared" si="186"/>
        <v>0</v>
      </c>
      <c r="H134" s="422">
        <f t="shared" si="186"/>
        <v>0</v>
      </c>
      <c r="I134" s="422">
        <f t="shared" si="186"/>
        <v>0</v>
      </c>
      <c r="J134" s="422">
        <f t="shared" si="186"/>
        <v>0</v>
      </c>
      <c r="K134" s="422">
        <f t="shared" si="186"/>
        <v>0</v>
      </c>
      <c r="L134" s="422">
        <f t="shared" si="186"/>
        <v>0</v>
      </c>
      <c r="M134" s="422">
        <f t="shared" si="186"/>
        <v>0</v>
      </c>
      <c r="N134" s="422">
        <f t="shared" si="186"/>
        <v>0</v>
      </c>
      <c r="O134" s="422">
        <f t="shared" si="186"/>
        <v>0</v>
      </c>
      <c r="P134" s="550">
        <f t="shared" si="186"/>
        <v>0</v>
      </c>
      <c r="Q134" s="550">
        <f t="shared" si="186"/>
        <v>0</v>
      </c>
      <c r="R134" s="550">
        <f t="shared" si="186"/>
        <v>0</v>
      </c>
      <c r="S134" s="550">
        <f t="shared" si="186"/>
        <v>0</v>
      </c>
      <c r="T134" s="550">
        <f t="shared" ref="T134:U134" si="187">$C134*AT37</f>
        <v>0</v>
      </c>
      <c r="U134" s="550">
        <f t="shared" si="187"/>
        <v>0</v>
      </c>
      <c r="V134" s="370"/>
      <c r="W134" s="370"/>
      <c r="X134" s="370"/>
    </row>
    <row r="135" spans="2:24">
      <c r="B135" s="370">
        <f>0.19</f>
        <v>0.19</v>
      </c>
      <c r="C135" s="370">
        <f>0.19</f>
        <v>0.19</v>
      </c>
      <c r="D135" s="358" t="s">
        <v>186</v>
      </c>
      <c r="E135" s="422">
        <f t="shared" ref="E135:O135" si="188">$C135*AE38</f>
        <v>7499.6698920000008</v>
      </c>
      <c r="F135" s="422">
        <f t="shared" si="188"/>
        <v>0</v>
      </c>
      <c r="G135" s="422">
        <f t="shared" si="188"/>
        <v>0</v>
      </c>
      <c r="H135" s="422">
        <f t="shared" si="188"/>
        <v>0</v>
      </c>
      <c r="I135" s="422">
        <f t="shared" si="188"/>
        <v>0</v>
      </c>
      <c r="J135" s="422">
        <f t="shared" si="188"/>
        <v>0</v>
      </c>
      <c r="K135" s="422">
        <f t="shared" si="188"/>
        <v>0</v>
      </c>
      <c r="L135" s="422">
        <f t="shared" si="188"/>
        <v>0</v>
      </c>
      <c r="M135" s="422">
        <f t="shared" si="188"/>
        <v>0</v>
      </c>
      <c r="N135" s="422">
        <f t="shared" si="188"/>
        <v>0</v>
      </c>
      <c r="O135" s="422">
        <f t="shared" si="188"/>
        <v>0</v>
      </c>
      <c r="P135" s="550">
        <f>$C135*AP38*780</f>
        <v>0</v>
      </c>
      <c r="Q135" s="550">
        <f>$C135*AQ38*780</f>
        <v>0</v>
      </c>
      <c r="R135" s="550">
        <f>$C135*AR38*780</f>
        <v>0</v>
      </c>
      <c r="S135" s="550">
        <f>$C135*AS38*780</f>
        <v>0</v>
      </c>
      <c r="T135" s="550">
        <f t="shared" ref="T135:U135" si="189">$C135*AT38*780</f>
        <v>0</v>
      </c>
      <c r="U135" s="550">
        <f t="shared" si="189"/>
        <v>0</v>
      </c>
      <c r="V135" s="370"/>
      <c r="W135" s="370"/>
      <c r="X135" s="370"/>
    </row>
    <row r="136" spans="2:24">
      <c r="B136" s="370">
        <v>0.19</v>
      </c>
      <c r="C136" s="370">
        <v>0.19</v>
      </c>
      <c r="D136" s="358" t="s">
        <v>188</v>
      </c>
      <c r="E136" s="422">
        <f t="shared" ref="E136:S136" si="190">$C136*AE39*750</f>
        <v>163584097.65000001</v>
      </c>
      <c r="F136" s="422">
        <f t="shared" si="190"/>
        <v>0</v>
      </c>
      <c r="G136" s="422">
        <f t="shared" si="190"/>
        <v>0</v>
      </c>
      <c r="H136" s="422">
        <f t="shared" si="190"/>
        <v>0</v>
      </c>
      <c r="I136" s="422">
        <f t="shared" si="190"/>
        <v>0</v>
      </c>
      <c r="J136" s="422">
        <f>$C136*AJ39*750</f>
        <v>982525980.07382774</v>
      </c>
      <c r="K136" s="422">
        <f t="shared" si="190"/>
        <v>810443990.79120636</v>
      </c>
      <c r="L136" s="422">
        <f t="shared" si="190"/>
        <v>661020613.62932134</v>
      </c>
      <c r="M136" s="422">
        <f t="shared" si="190"/>
        <v>557138388.87076795</v>
      </c>
      <c r="N136" s="422">
        <f t="shared" si="190"/>
        <v>0</v>
      </c>
      <c r="O136" s="422">
        <f t="shared" si="190"/>
        <v>0</v>
      </c>
      <c r="P136" s="550">
        <f t="shared" si="190"/>
        <v>0</v>
      </c>
      <c r="Q136" s="550">
        <f t="shared" si="190"/>
        <v>0</v>
      </c>
      <c r="R136" s="550">
        <f t="shared" si="190"/>
        <v>27835075.77407432</v>
      </c>
      <c r="S136" s="550">
        <f t="shared" si="190"/>
        <v>62264365.946856223</v>
      </c>
      <c r="T136" s="550">
        <f t="shared" ref="T136:U136" si="191">$C136*AT39*750</f>
        <v>63405466.241656967</v>
      </c>
      <c r="U136" s="550">
        <f t="shared" si="191"/>
        <v>157102166.67309174</v>
      </c>
      <c r="V136" s="370"/>
      <c r="W136" s="370"/>
      <c r="X136" s="370"/>
    </row>
    <row r="137" spans="2:24">
      <c r="B137" s="370">
        <v>1.5</v>
      </c>
      <c r="C137" s="370">
        <v>1.5</v>
      </c>
      <c r="D137" s="358" t="s">
        <v>596</v>
      </c>
      <c r="E137" s="422">
        <f t="shared" ref="E137:S137" si="192">$C137*AE40</f>
        <v>4039611807.6500001</v>
      </c>
      <c r="F137" s="422">
        <f t="shared" si="192"/>
        <v>2862695400</v>
      </c>
      <c r="G137" s="422">
        <f t="shared" si="192"/>
        <v>2034387420</v>
      </c>
      <c r="H137" s="422">
        <f t="shared" si="192"/>
        <v>2088081600</v>
      </c>
      <c r="I137" s="422">
        <f t="shared" si="192"/>
        <v>2040374034.8399999</v>
      </c>
      <c r="J137" s="422">
        <f t="shared" si="192"/>
        <v>2862695400</v>
      </c>
      <c r="K137" s="422">
        <f t="shared" si="192"/>
        <v>2034387420</v>
      </c>
      <c r="L137" s="422">
        <f t="shared" si="192"/>
        <v>2088081600</v>
      </c>
      <c r="M137" s="422">
        <f t="shared" si="192"/>
        <v>2040374034.8399999</v>
      </c>
      <c r="N137" s="422">
        <f t="shared" si="192"/>
        <v>2862695400</v>
      </c>
      <c r="O137" s="422">
        <f t="shared" si="192"/>
        <v>2034387420</v>
      </c>
      <c r="P137" s="550">
        <f t="shared" si="192"/>
        <v>2088081600</v>
      </c>
      <c r="Q137" s="550">
        <f t="shared" si="192"/>
        <v>2040374034.8399999</v>
      </c>
      <c r="R137" s="550">
        <f t="shared" si="192"/>
        <v>2862695400</v>
      </c>
      <c r="S137" s="550">
        <f t="shared" si="192"/>
        <v>2034387420</v>
      </c>
      <c r="T137" s="550">
        <f t="shared" ref="T137:U137" si="193">$C137*AT40</f>
        <v>2088081600</v>
      </c>
      <c r="U137" s="550">
        <f t="shared" si="193"/>
        <v>2040374034.8399999</v>
      </c>
      <c r="V137" s="370"/>
      <c r="W137" s="370"/>
      <c r="X137" s="370"/>
    </row>
    <row r="138" spans="2:24">
      <c r="B138" s="798">
        <v>2.5099999999999998</v>
      </c>
      <c r="C138" s="798">
        <v>0.44600000000000001</v>
      </c>
      <c r="D138" s="867" t="s">
        <v>1238</v>
      </c>
      <c r="E138" s="524"/>
      <c r="F138" s="422">
        <f>$C138*'3. CEF &amp; EEF'!E7*8000</f>
        <v>775387484.21416581</v>
      </c>
      <c r="G138" s="422">
        <f>$C138*'3. CEF &amp; EEF'!F7*8000</f>
        <v>596743540.86121535</v>
      </c>
      <c r="H138" s="422">
        <f>$C138*'3. CEF &amp; EEF'!G7*8000</f>
        <v>494298257.03569263</v>
      </c>
      <c r="I138" s="422">
        <f>$C138*'3. CEF &amp; EEF'!H7*8000</f>
        <v>428939460.79060322</v>
      </c>
      <c r="J138" s="422">
        <f>$C138*'3. CEF &amp; EEF'!I7*8000</f>
        <v>775387484.21416581</v>
      </c>
      <c r="K138" s="422">
        <f>$C138*'3. CEF &amp; EEF'!J7*8000</f>
        <v>596743540.86121535</v>
      </c>
      <c r="L138" s="422">
        <f>$C138*'3. CEF &amp; EEF'!K7*8000</f>
        <v>494298257.03569263</v>
      </c>
      <c r="M138" s="422">
        <f>$C138*'3. CEF &amp; EEF'!L7*8000</f>
        <v>428939460.79060322</v>
      </c>
      <c r="N138" s="422">
        <f>$C138*'3. CEF &amp; EEF'!M7*8000</f>
        <v>0</v>
      </c>
      <c r="O138" s="422">
        <f>$C138*'3. CEF &amp; EEF'!N7*8000</f>
        <v>0</v>
      </c>
      <c r="P138" s="422">
        <f>$C138*'3. CEF &amp; EEF'!O7*8000</f>
        <v>0</v>
      </c>
      <c r="Q138" s="422">
        <f>$C138*'3. CEF &amp; EEF'!P7*8000</f>
        <v>0</v>
      </c>
      <c r="R138" s="422">
        <f>$C138*'3. CEF &amp; EEF'!Q7*8000</f>
        <v>0</v>
      </c>
      <c r="S138" s="422">
        <f>$C138*'3. CEF &amp; EEF'!R7*8000</f>
        <v>0</v>
      </c>
      <c r="T138" s="422">
        <f>$C138*'3. CEF &amp; EEF'!S7*8000</f>
        <v>0</v>
      </c>
      <c r="U138" s="422">
        <f>$C138*'3. CEF &amp; EEF'!T7*8000</f>
        <v>0</v>
      </c>
      <c r="V138" s="370"/>
      <c r="W138" s="370"/>
      <c r="X138" s="370"/>
    </row>
    <row r="139" spans="2:24">
      <c r="D139" s="575" t="s">
        <v>1265</v>
      </c>
      <c r="F139" s="794">
        <f>(F140*4+F141*2.5+F142*2+F143*0)</f>
        <v>1184621833.3329287</v>
      </c>
      <c r="G139" s="794">
        <f t="shared" ref="G139:U139" si="194">(G140*4+G141*2.5+G142*2+G143*0)</f>
        <v>1341653980.1583354</v>
      </c>
      <c r="H139" s="794">
        <f t="shared" si="194"/>
        <v>1481906870.7839954</v>
      </c>
      <c r="I139" s="794">
        <f t="shared" si="194"/>
        <v>1664677769.2945628</v>
      </c>
      <c r="J139" s="794">
        <f t="shared" si="194"/>
        <v>1184621833.3329287</v>
      </c>
      <c r="K139" s="794">
        <f t="shared" si="194"/>
        <v>1341653980.1583354</v>
      </c>
      <c r="L139" s="794">
        <f t="shared" si="194"/>
        <v>1481906870.7839954</v>
      </c>
      <c r="M139" s="794">
        <f t="shared" si="194"/>
        <v>1664677769.2945628</v>
      </c>
      <c r="N139" s="794">
        <f t="shared" si="194"/>
        <v>1194033595.2014809</v>
      </c>
      <c r="O139" s="794">
        <f t="shared" si="194"/>
        <v>1363602544.6267011</v>
      </c>
      <c r="P139" s="794">
        <f t="shared" si="194"/>
        <v>1506382840.8211253</v>
      </c>
      <c r="Q139" s="794">
        <f t="shared" si="194"/>
        <v>1673534473.2007532</v>
      </c>
      <c r="R139" s="794">
        <f t="shared" si="194"/>
        <v>1194033595.2014809</v>
      </c>
      <c r="S139" s="794">
        <f t="shared" si="194"/>
        <v>1363602544.6267011</v>
      </c>
      <c r="T139" s="794">
        <f t="shared" si="194"/>
        <v>1506382840.8211253</v>
      </c>
      <c r="U139" s="794">
        <f t="shared" si="194"/>
        <v>1673534473.2007532</v>
      </c>
      <c r="V139" s="370"/>
      <c r="W139" s="370"/>
      <c r="X139" s="370"/>
    </row>
    <row r="140" spans="2:24">
      <c r="D140" s="229" t="s">
        <v>1030</v>
      </c>
      <c r="F140" s="794">
        <f t="shared" ref="F140:U143" si="195">AF56</f>
        <v>233635400.70064721</v>
      </c>
      <c r="G140" s="794">
        <f t="shared" si="195"/>
        <v>245996505.19076639</v>
      </c>
      <c r="H140" s="794">
        <f t="shared" si="195"/>
        <v>252541045.7800568</v>
      </c>
      <c r="I140" s="794">
        <f t="shared" si="195"/>
        <v>264797263.52022156</v>
      </c>
      <c r="J140" s="794">
        <f t="shared" si="195"/>
        <v>233635400.70064721</v>
      </c>
      <c r="K140" s="794">
        <f t="shared" si="195"/>
        <v>245996505.19076639</v>
      </c>
      <c r="L140" s="794">
        <f t="shared" si="195"/>
        <v>252541045.7800568</v>
      </c>
      <c r="M140" s="794">
        <f t="shared" si="195"/>
        <v>264797263.52022156</v>
      </c>
      <c r="N140" s="794">
        <f t="shared" si="195"/>
        <v>235994687.7746112</v>
      </c>
      <c r="O140" s="794">
        <f t="shared" si="195"/>
        <v>251523917.62623039</v>
      </c>
      <c r="P140" s="794">
        <f t="shared" si="195"/>
        <v>258673464.0058808</v>
      </c>
      <c r="Q140" s="794">
        <f t="shared" si="195"/>
        <v>266453029.54962558</v>
      </c>
      <c r="R140" s="794">
        <f t="shared" si="195"/>
        <v>235994687.7746112</v>
      </c>
      <c r="S140" s="794">
        <f t="shared" si="195"/>
        <v>251523917.62623039</v>
      </c>
      <c r="T140" s="794">
        <f t="shared" si="195"/>
        <v>258673464.0058808</v>
      </c>
      <c r="U140" s="794">
        <f t="shared" si="195"/>
        <v>266453029.54962558</v>
      </c>
      <c r="V140" s="370"/>
      <c r="W140" s="370"/>
      <c r="X140" s="370"/>
    </row>
    <row r="141" spans="2:24">
      <c r="D141" s="229" t="s">
        <v>688</v>
      </c>
      <c r="F141" s="794">
        <f t="shared" si="195"/>
        <v>13117896.51945048</v>
      </c>
      <c r="G141" s="794">
        <f t="shared" si="195"/>
        <v>21956048.911865361</v>
      </c>
      <c r="H141" s="794">
        <f t="shared" si="195"/>
        <v>34237413.668112718</v>
      </c>
      <c r="I141" s="794">
        <f t="shared" si="195"/>
        <v>48649504.523832239</v>
      </c>
      <c r="J141" s="794">
        <f t="shared" si="195"/>
        <v>13117896.51945048</v>
      </c>
      <c r="K141" s="794">
        <f t="shared" si="195"/>
        <v>21956048.911865361</v>
      </c>
      <c r="L141" s="794">
        <f t="shared" si="195"/>
        <v>34237413.668112718</v>
      </c>
      <c r="M141" s="794">
        <f t="shared" si="195"/>
        <v>48649504.523832239</v>
      </c>
      <c r="N141" s="794">
        <f t="shared" si="195"/>
        <v>13116116.360694081</v>
      </c>
      <c r="O141" s="794">
        <f t="shared" si="195"/>
        <v>21945476.96786128</v>
      </c>
      <c r="P141" s="794">
        <f t="shared" si="195"/>
        <v>34227173.754957601</v>
      </c>
      <c r="Q141" s="794">
        <f t="shared" si="195"/>
        <v>48652408.585803434</v>
      </c>
      <c r="R141" s="794">
        <f t="shared" si="195"/>
        <v>13116116.360694081</v>
      </c>
      <c r="S141" s="794">
        <f t="shared" si="195"/>
        <v>21945476.96786128</v>
      </c>
      <c r="T141" s="794">
        <f t="shared" si="195"/>
        <v>34227173.754957601</v>
      </c>
      <c r="U141" s="794">
        <f t="shared" si="195"/>
        <v>48652408.585803434</v>
      </c>
      <c r="V141" s="370"/>
      <c r="W141" s="370"/>
      <c r="X141" s="370"/>
    </row>
    <row r="142" spans="2:24">
      <c r="D142" s="229" t="s">
        <v>625</v>
      </c>
      <c r="F142" s="794">
        <f t="shared" si="195"/>
        <v>108642744.61585681</v>
      </c>
      <c r="G142" s="794">
        <f t="shared" si="195"/>
        <v>151388918.55780321</v>
      </c>
      <c r="H142" s="794">
        <f t="shared" si="195"/>
        <v>193074576.7467432</v>
      </c>
      <c r="I142" s="794">
        <f t="shared" si="195"/>
        <v>241932476.952048</v>
      </c>
      <c r="J142" s="794">
        <f t="shared" si="195"/>
        <v>108642744.61585681</v>
      </c>
      <c r="K142" s="794">
        <f t="shared" si="195"/>
        <v>151388918.55780321</v>
      </c>
      <c r="L142" s="794">
        <f t="shared" si="195"/>
        <v>193074576.7467432</v>
      </c>
      <c r="M142" s="794">
        <f t="shared" si="195"/>
        <v>241932476.952048</v>
      </c>
      <c r="N142" s="794">
        <f t="shared" si="195"/>
        <v>108632276.6006504</v>
      </c>
      <c r="O142" s="794">
        <f t="shared" si="195"/>
        <v>151321590.85106319</v>
      </c>
      <c r="P142" s="794">
        <f t="shared" si="195"/>
        <v>193060525.20510399</v>
      </c>
      <c r="Q142" s="794">
        <f t="shared" si="195"/>
        <v>243045666.76887119</v>
      </c>
      <c r="R142" s="794">
        <f t="shared" si="195"/>
        <v>108632276.6006504</v>
      </c>
      <c r="S142" s="794">
        <f t="shared" si="195"/>
        <v>151321590.85106319</v>
      </c>
      <c r="T142" s="794">
        <f t="shared" si="195"/>
        <v>193060525.20510399</v>
      </c>
      <c r="U142" s="794">
        <f t="shared" si="195"/>
        <v>243045666.76887119</v>
      </c>
      <c r="V142" s="370"/>
      <c r="W142" s="370"/>
      <c r="X142" s="370"/>
    </row>
    <row r="143" spans="2:24">
      <c r="D143" s="358" t="s">
        <v>886</v>
      </c>
      <c r="F143" s="794">
        <f t="shared" si="195"/>
        <v>119914021.3318312</v>
      </c>
      <c r="G143" s="794">
        <f t="shared" si="195"/>
        <v>91990090.802637592</v>
      </c>
      <c r="H143" s="794">
        <f t="shared" si="195"/>
        <v>89901669.429938391</v>
      </c>
      <c r="I143" s="794">
        <f t="shared" si="195"/>
        <v>62487108.321178637</v>
      </c>
      <c r="J143" s="794">
        <f t="shared" si="195"/>
        <v>119914021.3318312</v>
      </c>
      <c r="K143" s="794">
        <f t="shared" si="195"/>
        <v>91990090.802637592</v>
      </c>
      <c r="L143" s="794">
        <f t="shared" si="195"/>
        <v>89901669.429938391</v>
      </c>
      <c r="M143" s="794">
        <f t="shared" si="195"/>
        <v>62487108.321178637</v>
      </c>
      <c r="N143" s="794">
        <f t="shared" si="195"/>
        <v>119906858.5003528</v>
      </c>
      <c r="O143" s="794">
        <f t="shared" si="195"/>
        <v>91973030.21456641</v>
      </c>
      <c r="P143" s="794">
        <f t="shared" si="195"/>
        <v>89902859.921120003</v>
      </c>
      <c r="Q143" s="794">
        <f t="shared" si="195"/>
        <v>94271944.718263999</v>
      </c>
      <c r="R143" s="794">
        <f t="shared" si="195"/>
        <v>119906858.5003528</v>
      </c>
      <c r="S143" s="794">
        <f t="shared" si="195"/>
        <v>91973030.21456641</v>
      </c>
      <c r="T143" s="794">
        <f t="shared" si="195"/>
        <v>89902859.921120003</v>
      </c>
      <c r="U143" s="794">
        <f t="shared" si="195"/>
        <v>94271944.718263999</v>
      </c>
      <c r="V143" s="370"/>
      <c r="W143" s="370"/>
      <c r="X143" s="370"/>
    </row>
    <row r="144" spans="2:24">
      <c r="D144" s="575" t="s">
        <v>917</v>
      </c>
      <c r="E144" s="578">
        <f t="shared" ref="E144:U144" si="196">AE54</f>
        <v>486941333.18155122</v>
      </c>
      <c r="F144" s="578">
        <f t="shared" si="196"/>
        <v>1160896180.2469041</v>
      </c>
      <c r="G144" s="578">
        <f t="shared" si="196"/>
        <v>1067900644.830296</v>
      </c>
      <c r="H144" s="578">
        <f t="shared" si="196"/>
        <v>1002650848.95968</v>
      </c>
      <c r="I144" s="578">
        <f t="shared" si="196"/>
        <v>895027549.50861597</v>
      </c>
      <c r="J144" s="578">
        <f t="shared" si="196"/>
        <v>1160896180.2469041</v>
      </c>
      <c r="K144" s="578">
        <f t="shared" si="196"/>
        <v>1067900644.830296</v>
      </c>
      <c r="L144" s="578">
        <f t="shared" si="196"/>
        <v>1002650848.95968</v>
      </c>
      <c r="M144" s="578">
        <f t="shared" si="196"/>
        <v>895027549.50861597</v>
      </c>
      <c r="N144" s="578">
        <f t="shared" si="196"/>
        <v>1160804537.0580318</v>
      </c>
      <c r="O144" s="578">
        <f t="shared" si="196"/>
        <v>1067543665.3682401</v>
      </c>
      <c r="P144" s="577">
        <f t="shared" si="196"/>
        <v>1002590209.62112</v>
      </c>
      <c r="Q144" s="577">
        <f t="shared" si="196"/>
        <v>908839447.00947189</v>
      </c>
      <c r="R144" s="577">
        <f t="shared" si="196"/>
        <v>1160804537.0580318</v>
      </c>
      <c r="S144" s="577">
        <f t="shared" si="196"/>
        <v>1067543665.3682401</v>
      </c>
      <c r="T144" s="577">
        <f t="shared" si="196"/>
        <v>1002590209.62112</v>
      </c>
      <c r="U144" s="577">
        <f t="shared" si="196"/>
        <v>908839447.00947189</v>
      </c>
      <c r="V144" s="370"/>
      <c r="W144" s="370"/>
      <c r="X144" s="370"/>
    </row>
    <row r="145" spans="4:24">
      <c r="D145" s="582"/>
      <c r="E145" s="583">
        <f>(E129+E130+E131)/E144</f>
        <v>17.218354406032482</v>
      </c>
      <c r="F145" s="583">
        <f>(F129+F130+F131-F140*4-F141*2.5-F142*2-F143*0.944)/F144</f>
        <v>9.8325937453759025</v>
      </c>
      <c r="G145" s="583">
        <f t="shared" ref="G145:U145" si="197">(G129+G130+G131-G140*4-G141*2.5-G142*2-G143*0.944)/G144</f>
        <v>7.9129195010219506</v>
      </c>
      <c r="H145" s="583">
        <f t="shared" si="197"/>
        <v>6.9518215590665227</v>
      </c>
      <c r="I145" s="583">
        <f t="shared" si="197"/>
        <v>6.7653681986009753</v>
      </c>
      <c r="J145" s="583">
        <f>(J129+J130+J131)/SUM(J140:J144)</f>
        <v>5.9006044646190778</v>
      </c>
      <c r="K145" s="583">
        <f t="shared" ref="K145:M145" si="198">(K129+K130+K131)/SUM(K140:K144)</f>
        <v>4.5704831531238552</v>
      </c>
      <c r="L145" s="583">
        <f t="shared" si="198"/>
        <v>3.9649656610649324</v>
      </c>
      <c r="M145" s="583">
        <f t="shared" si="198"/>
        <v>3.7076878115895666</v>
      </c>
      <c r="N145" s="583">
        <f t="shared" si="197"/>
        <v>11.744840372608497</v>
      </c>
      <c r="O145" s="583">
        <f t="shared" si="197"/>
        <v>9.558881597908611</v>
      </c>
      <c r="P145" s="583">
        <f t="shared" si="197"/>
        <v>8.3432240028532405</v>
      </c>
      <c r="Q145" s="583">
        <f t="shared" si="197"/>
        <v>7.9738855735661955</v>
      </c>
      <c r="R145" s="583">
        <f t="shared" si="197"/>
        <v>11.670499273213025</v>
      </c>
      <c r="S145" s="583">
        <f t="shared" si="197"/>
        <v>9.3556537441970686</v>
      </c>
      <c r="T145" s="583">
        <f t="shared" si="197"/>
        <v>8.1071032483388059</v>
      </c>
      <c r="U145" s="583">
        <f t="shared" si="197"/>
        <v>7.6253418457845186</v>
      </c>
      <c r="V145" s="370"/>
      <c r="W145" s="370"/>
      <c r="X145" s="370"/>
    </row>
    <row r="146" spans="4:24">
      <c r="V146" s="370"/>
      <c r="W146" s="370"/>
      <c r="X146" s="370"/>
    </row>
    <row r="147" spans="4:24">
      <c r="V147" s="370"/>
      <c r="W147" s="370"/>
      <c r="X147" s="370"/>
    </row>
    <row r="148" spans="4:24">
      <c r="F148" s="573" t="s">
        <v>1037</v>
      </c>
      <c r="I148" s="385"/>
      <c r="J148" s="385"/>
      <c r="K148" s="385"/>
      <c r="L148" s="385"/>
      <c r="M148" s="385"/>
      <c r="N148" s="705"/>
      <c r="O148" s="705"/>
      <c r="P148" s="548"/>
      <c r="Q148" s="548"/>
      <c r="R148" s="370"/>
      <c r="S148" s="370"/>
      <c r="T148" s="548"/>
      <c r="U148" s="370"/>
      <c r="V148" s="370"/>
      <c r="W148" s="370"/>
      <c r="X148" s="370"/>
    </row>
    <row r="149" spans="4:24">
      <c r="D149" s="579"/>
      <c r="E149" s="580" t="s">
        <v>773</v>
      </c>
      <c r="F149" s="315" t="s">
        <v>1147</v>
      </c>
      <c r="G149" s="315" t="s">
        <v>1148</v>
      </c>
      <c r="H149" s="315" t="s">
        <v>1149</v>
      </c>
      <c r="I149" s="315" t="s">
        <v>1150</v>
      </c>
      <c r="J149" s="841" t="s">
        <v>1164</v>
      </c>
      <c r="K149" s="842" t="s">
        <v>1166</v>
      </c>
      <c r="L149" s="842" t="s">
        <v>1167</v>
      </c>
      <c r="M149" s="842" t="s">
        <v>1168</v>
      </c>
      <c r="N149" s="843" t="s">
        <v>1172</v>
      </c>
      <c r="O149" s="843" t="s">
        <v>1174</v>
      </c>
      <c r="P149" s="844" t="s">
        <v>1176</v>
      </c>
      <c r="Q149" s="844" t="s">
        <v>1178</v>
      </c>
      <c r="R149" s="845" t="s">
        <v>1180</v>
      </c>
      <c r="S149" s="845" t="s">
        <v>1182</v>
      </c>
      <c r="T149" s="845" t="s">
        <v>1184</v>
      </c>
      <c r="U149" s="845" t="s">
        <v>1186</v>
      </c>
      <c r="V149" s="370"/>
      <c r="W149" s="370"/>
      <c r="X149" s="370"/>
    </row>
    <row r="150" spans="4:24">
      <c r="D150" s="575" t="s">
        <v>933</v>
      </c>
      <c r="E150" s="581">
        <f t="shared" ref="E150" si="199">E129/E$144</f>
        <v>0</v>
      </c>
      <c r="F150" s="581">
        <f>F129/SUM(F140:F144)</f>
        <v>0.4613232108852906</v>
      </c>
      <c r="G150" s="581">
        <f t="shared" ref="G150:U150" si="200">G129/SUM(G140:G144)</f>
        <v>0.47796639019814352</v>
      </c>
      <c r="H150" s="581">
        <f t="shared" si="200"/>
        <v>0.48004149799767554</v>
      </c>
      <c r="I150" s="581">
        <f t="shared" si="200"/>
        <v>0.4989245554316234</v>
      </c>
      <c r="J150" s="581">
        <f t="shared" si="200"/>
        <v>0.4613232108852906</v>
      </c>
      <c r="K150" s="581">
        <f t="shared" si="200"/>
        <v>0.47796639019814352</v>
      </c>
      <c r="L150" s="581">
        <f t="shared" si="200"/>
        <v>0.48004149799767554</v>
      </c>
      <c r="M150" s="581">
        <f t="shared" si="200"/>
        <v>0.4989245554316234</v>
      </c>
      <c r="N150" s="581">
        <f t="shared" si="200"/>
        <v>0.46069019847886472</v>
      </c>
      <c r="O150" s="581">
        <f t="shared" si="200"/>
        <v>0.47643518170212185</v>
      </c>
      <c r="P150" s="581">
        <f t="shared" si="200"/>
        <v>0.47820196641571688</v>
      </c>
      <c r="Q150" s="581">
        <f t="shared" si="200"/>
        <v>0.48346765486964915</v>
      </c>
      <c r="R150" s="581">
        <f t="shared" si="200"/>
        <v>0.46069019847886472</v>
      </c>
      <c r="S150" s="581">
        <f t="shared" si="200"/>
        <v>0.47643518170212185</v>
      </c>
      <c r="T150" s="581">
        <f t="shared" si="200"/>
        <v>0.47820196641571688</v>
      </c>
      <c r="U150" s="581">
        <f t="shared" si="200"/>
        <v>0.48346765486964915</v>
      </c>
      <c r="V150" s="370"/>
      <c r="W150" s="370"/>
      <c r="X150" s="370"/>
    </row>
    <row r="151" spans="4:24">
      <c r="D151" s="575" t="s">
        <v>915</v>
      </c>
      <c r="E151" s="581">
        <f t="shared" ref="E151" si="201">E130/E$144</f>
        <v>1.0064834931424327</v>
      </c>
      <c r="F151" s="581">
        <f>F130/SUM(F140:F144)</f>
        <v>2.9978772224111885</v>
      </c>
      <c r="G151" s="581">
        <f t="shared" ref="G151:U151" si="202">G130/SUM(G140:G144)</f>
        <v>2.5386485177479297</v>
      </c>
      <c r="H151" s="581">
        <f t="shared" si="202"/>
        <v>2.1625822739606644</v>
      </c>
      <c r="I151" s="581">
        <f t="shared" si="202"/>
        <v>2.110369207245923</v>
      </c>
      <c r="J151" s="581">
        <f t="shared" si="202"/>
        <v>0.39952981210696231</v>
      </c>
      <c r="K151" s="581">
        <f t="shared" si="202"/>
        <v>0.2203203481750054</v>
      </c>
      <c r="L151" s="581">
        <f t="shared" si="202"/>
        <v>0.17497864721069811</v>
      </c>
      <c r="M151" s="581">
        <f t="shared" si="202"/>
        <v>0.20933017050316996</v>
      </c>
      <c r="N151" s="581">
        <f t="shared" si="202"/>
        <v>8.2913427504810094E-2</v>
      </c>
      <c r="O151" s="581">
        <f t="shared" si="202"/>
        <v>0.21374184417548445</v>
      </c>
      <c r="P151" s="581">
        <f t="shared" si="202"/>
        <v>0.22813442559639907</v>
      </c>
      <c r="Q151" s="581">
        <f t="shared" si="202"/>
        <v>0.35511037998127576</v>
      </c>
      <c r="R151" s="581">
        <f t="shared" si="202"/>
        <v>9.4377000125841666E-3</v>
      </c>
      <c r="S151" s="581">
        <f t="shared" si="202"/>
        <v>2.784162422079911E-2</v>
      </c>
      <c r="T151" s="581">
        <f t="shared" si="202"/>
        <v>2.7565790704072991E-2</v>
      </c>
      <c r="U151" s="581">
        <f t="shared" si="202"/>
        <v>3.4952652476073633E-2</v>
      </c>
      <c r="V151" s="370"/>
      <c r="W151" s="370"/>
      <c r="X151" s="370"/>
    </row>
    <row r="152" spans="4:24">
      <c r="D152" s="575" t="s">
        <v>916</v>
      </c>
      <c r="E152" s="581">
        <f t="shared" ref="E152" si="203">E131/E$144</f>
        <v>16.211870912890049</v>
      </c>
      <c r="F152" s="581">
        <f>F131/SUM(F140:F144)</f>
        <v>4.310260929878841</v>
      </c>
      <c r="G152" s="581">
        <f t="shared" ref="G152:U152" si="204">G131/SUM(G140:G144)</f>
        <v>3.2387694564490941</v>
      </c>
      <c r="H152" s="581">
        <f t="shared" si="204"/>
        <v>2.7866522884380549</v>
      </c>
      <c r="I152" s="581">
        <f t="shared" si="204"/>
        <v>2.532412807318654</v>
      </c>
      <c r="J152" s="581">
        <f t="shared" si="204"/>
        <v>5.0397514416268248</v>
      </c>
      <c r="K152" s="581">
        <f t="shared" si="204"/>
        <v>3.8721964147507064</v>
      </c>
      <c r="L152" s="581">
        <f t="shared" si="204"/>
        <v>3.3099455158565592</v>
      </c>
      <c r="M152" s="581">
        <f t="shared" si="204"/>
        <v>2.9994330856547733</v>
      </c>
      <c r="N152" s="581">
        <f t="shared" si="204"/>
        <v>8.5751664572493738</v>
      </c>
      <c r="O152" s="581">
        <f t="shared" si="204"/>
        <v>6.6663161115156546</v>
      </c>
      <c r="P152" s="581">
        <f t="shared" si="204"/>
        <v>5.6011545934584692</v>
      </c>
      <c r="Q152" s="581">
        <f t="shared" si="204"/>
        <v>4.9320780615113868</v>
      </c>
      <c r="R152" s="581">
        <f t="shared" si="204"/>
        <v>8.5959733515718675</v>
      </c>
      <c r="S152" s="581">
        <f t="shared" si="204"/>
        <v>6.7152766382187297</v>
      </c>
      <c r="T152" s="581">
        <f t="shared" si="204"/>
        <v>5.6517458949007437</v>
      </c>
      <c r="U152" s="581">
        <f t="shared" si="204"/>
        <v>5.0493421119449504</v>
      </c>
      <c r="V152" s="370"/>
      <c r="W152" s="370"/>
      <c r="X152" s="370"/>
    </row>
    <row r="153" spans="4:24">
      <c r="D153" s="575" t="s">
        <v>1260</v>
      </c>
      <c r="F153" s="807"/>
      <c r="G153" s="807"/>
      <c r="H153" s="807"/>
      <c r="I153" s="807"/>
      <c r="J153" s="807">
        <f>AJ61/SUM(J140:J144)</f>
        <v>2.5957892455070022</v>
      </c>
      <c r="K153" s="807">
        <f t="shared" ref="K153:M153" si="205">AK61/SUM(K140:K144)</f>
        <v>2.3162616449569029</v>
      </c>
      <c r="L153" s="807">
        <f t="shared" si="205"/>
        <v>1.9862988187775852</v>
      </c>
      <c r="M153" s="807">
        <f t="shared" si="205"/>
        <v>1.9007090530327349</v>
      </c>
      <c r="N153" s="807"/>
      <c r="O153" s="807"/>
      <c r="P153" s="807"/>
      <c r="Q153" s="807"/>
      <c r="R153" s="807"/>
      <c r="S153" s="807"/>
      <c r="T153" s="807"/>
      <c r="U153" s="807"/>
    </row>
    <row r="154" spans="4:24">
      <c r="D154" s="575" t="s">
        <v>919</v>
      </c>
      <c r="E154" s="581">
        <f>SUM(E150:E152)</f>
        <v>17.218354406032482</v>
      </c>
      <c r="F154" s="581">
        <f>SUM(F150:F152)-F153</f>
        <v>7.7694613631753207</v>
      </c>
      <c r="G154" s="581">
        <f t="shared" ref="G154" si="206">SUM(G150:G152)-G153</f>
        <v>6.2553843643951677</v>
      </c>
      <c r="H154" s="581">
        <f t="shared" ref="H154" si="207">SUM(H150:H152)-H153</f>
        <v>5.4292760603963952</v>
      </c>
      <c r="I154" s="581">
        <f t="shared" ref="I154" si="208">SUM(I150:I152)-I153</f>
        <v>5.1417065699962006</v>
      </c>
      <c r="J154" s="581">
        <f>SUM(J150:J152)</f>
        <v>5.9006044646190778</v>
      </c>
      <c r="K154" s="581">
        <f t="shared" ref="K154:M154" si="209">SUM(K150:K152)</f>
        <v>4.5704831531238552</v>
      </c>
      <c r="L154" s="581">
        <f t="shared" si="209"/>
        <v>3.9649656610649329</v>
      </c>
      <c r="M154" s="581">
        <f t="shared" si="209"/>
        <v>3.7076878115895666</v>
      </c>
      <c r="N154" s="581">
        <f t="shared" ref="N154" si="210">SUM(N150:N152)-N153</f>
        <v>9.1187700832330485</v>
      </c>
      <c r="O154" s="581">
        <f t="shared" ref="O154" si="211">SUM(O150:O152)-O153</f>
        <v>7.3564931373932607</v>
      </c>
      <c r="P154" s="581">
        <f t="shared" ref="P154" si="212">SUM(P150:P152)-P153</f>
        <v>6.3074909854705847</v>
      </c>
      <c r="Q154" s="581">
        <f t="shared" ref="Q154" si="213">SUM(Q150:Q152)-Q153</f>
        <v>5.7706560963623117</v>
      </c>
      <c r="R154" s="581">
        <f t="shared" ref="R154" si="214">SUM(R150:R152)-R153</f>
        <v>9.0661012500633156</v>
      </c>
      <c r="S154" s="581">
        <f t="shared" ref="S154" si="215">SUM(S150:S152)-S153</f>
        <v>7.2195534441416509</v>
      </c>
      <c r="T154" s="581">
        <f t="shared" ref="T154" si="216">SUM(T150:T152)-T153</f>
        <v>6.1575136520205334</v>
      </c>
      <c r="U154" s="581">
        <f t="shared" ref="U154" si="217">SUM(U150:U152)-U153</f>
        <v>5.5677624192906734</v>
      </c>
    </row>
    <row r="155" spans="4:24">
      <c r="F155" s="379">
        <f>SUM(F150:F152)</f>
        <v>7.7694613631753207</v>
      </c>
      <c r="G155" s="379">
        <f t="shared" ref="G155:U155" si="218">SUM(G150:G152)</f>
        <v>6.2553843643951677</v>
      </c>
      <c r="H155" s="379">
        <f t="shared" si="218"/>
        <v>5.4292760603963952</v>
      </c>
      <c r="I155" s="379">
        <f t="shared" si="218"/>
        <v>5.1417065699962006</v>
      </c>
      <c r="J155" s="379">
        <f t="shared" si="218"/>
        <v>5.9006044646190778</v>
      </c>
      <c r="K155" s="379">
        <f t="shared" si="218"/>
        <v>4.5704831531238552</v>
      </c>
      <c r="L155" s="379">
        <f t="shared" si="218"/>
        <v>3.9649656610649329</v>
      </c>
      <c r="M155" s="379">
        <f t="shared" si="218"/>
        <v>3.7076878115895666</v>
      </c>
      <c r="N155" s="379">
        <f t="shared" si="218"/>
        <v>9.1187700832330485</v>
      </c>
      <c r="O155" s="379">
        <f t="shared" si="218"/>
        <v>7.3564931373932607</v>
      </c>
      <c r="P155" s="379">
        <f t="shared" si="218"/>
        <v>6.3074909854705847</v>
      </c>
      <c r="Q155" s="379">
        <f t="shared" si="218"/>
        <v>5.7706560963623117</v>
      </c>
      <c r="R155" s="379">
        <f t="shared" si="218"/>
        <v>9.0661012500633156</v>
      </c>
      <c r="S155" s="379">
        <f t="shared" si="218"/>
        <v>7.2195534441416509</v>
      </c>
      <c r="T155" s="379">
        <f t="shared" si="218"/>
        <v>6.1575136520205334</v>
      </c>
      <c r="U155" s="379">
        <f t="shared" si="218"/>
        <v>5.5677624192906734</v>
      </c>
    </row>
    <row r="156" spans="4:24">
      <c r="F156" s="370">
        <f t="shared" ref="F156:M158" si="219">F150*F$154/F$155</f>
        <v>0.4613232108852906</v>
      </c>
      <c r="G156" s="370">
        <f t="shared" si="219"/>
        <v>0.47796639019814352</v>
      </c>
      <c r="H156" s="370">
        <f t="shared" si="219"/>
        <v>0.48004149799767548</v>
      </c>
      <c r="I156" s="370">
        <f t="shared" si="219"/>
        <v>0.4989245554316234</v>
      </c>
      <c r="J156" s="370">
        <f t="shared" si="219"/>
        <v>0.4613232108852906</v>
      </c>
      <c r="K156" s="370">
        <f t="shared" si="219"/>
        <v>0.47796639019814352</v>
      </c>
      <c r="L156" s="370">
        <f t="shared" si="219"/>
        <v>0.48004149799767554</v>
      </c>
      <c r="M156" s="370">
        <f t="shared" si="219"/>
        <v>0.4989245554316234</v>
      </c>
    </row>
    <row r="157" spans="4:24">
      <c r="F157" s="370">
        <f t="shared" si="219"/>
        <v>2.9978772224111885</v>
      </c>
      <c r="G157" s="370">
        <f t="shared" si="219"/>
        <v>2.5386485177479297</v>
      </c>
      <c r="H157" s="370">
        <f t="shared" si="219"/>
        <v>2.1625822739606644</v>
      </c>
      <c r="I157" s="370">
        <f t="shared" si="219"/>
        <v>2.110369207245923</v>
      </c>
      <c r="J157" s="370">
        <f t="shared" si="219"/>
        <v>0.39952981210696226</v>
      </c>
      <c r="K157" s="370">
        <f t="shared" si="219"/>
        <v>0.2203203481750054</v>
      </c>
      <c r="L157" s="370">
        <f t="shared" si="219"/>
        <v>0.17497864721069811</v>
      </c>
      <c r="M157" s="370">
        <f t="shared" si="219"/>
        <v>0.20933017050316996</v>
      </c>
    </row>
    <row r="158" spans="4:24">
      <c r="F158" s="370">
        <f t="shared" si="219"/>
        <v>4.310260929878841</v>
      </c>
      <c r="G158" s="370">
        <f t="shared" si="219"/>
        <v>3.2387694564490941</v>
      </c>
      <c r="H158" s="370">
        <f t="shared" si="219"/>
        <v>2.7866522884380549</v>
      </c>
      <c r="I158" s="370">
        <f t="shared" si="219"/>
        <v>2.532412807318654</v>
      </c>
      <c r="J158" s="370">
        <f t="shared" si="219"/>
        <v>5.0397514416268248</v>
      </c>
      <c r="K158" s="370">
        <f t="shared" si="219"/>
        <v>3.8721964147507064</v>
      </c>
      <c r="L158" s="370">
        <f t="shared" si="219"/>
        <v>3.3099455158565592</v>
      </c>
      <c r="M158" s="370">
        <f t="shared" si="219"/>
        <v>2.9994330856547733</v>
      </c>
    </row>
    <row r="166" spans="2:15">
      <c r="F166" s="370" t="s">
        <v>893</v>
      </c>
      <c r="G166" s="370" t="s">
        <v>894</v>
      </c>
      <c r="H166" s="370" t="s">
        <v>662</v>
      </c>
      <c r="I166" s="525" t="s">
        <v>895</v>
      </c>
      <c r="J166" s="370" t="s">
        <v>896</v>
      </c>
      <c r="K166" s="370" t="s">
        <v>897</v>
      </c>
      <c r="L166" s="370" t="s">
        <v>898</v>
      </c>
      <c r="M166" s="370" t="s">
        <v>899</v>
      </c>
      <c r="N166" s="525" t="s">
        <v>935</v>
      </c>
      <c r="O166" s="370" t="s">
        <v>892</v>
      </c>
    </row>
    <row r="167" spans="2:15">
      <c r="F167" s="370">
        <v>0.19588315140696258</v>
      </c>
      <c r="G167" s="370">
        <v>0.33655114193457392</v>
      </c>
      <c r="H167" s="370">
        <v>0.78068904801752859</v>
      </c>
      <c r="I167" s="370">
        <v>8.4358028884406692E-3</v>
      </c>
      <c r="J167" s="370">
        <v>-0.54338673227228906</v>
      </c>
      <c r="K167" s="370">
        <v>-5.4473214356303735E-3</v>
      </c>
      <c r="L167" s="370">
        <v>-5.8649306762133549E-2</v>
      </c>
      <c r="M167" s="370">
        <v>-1.6840268938956869E-2</v>
      </c>
      <c r="N167" s="891">
        <v>-0.12805075292903281</v>
      </c>
      <c r="O167" s="891">
        <v>1.3215591442475059</v>
      </c>
    </row>
    <row r="168" spans="2:15">
      <c r="F168" s="370">
        <v>0.145868282669566</v>
      </c>
      <c r="G168" s="370">
        <v>0.2653678943225074</v>
      </c>
      <c r="H168" s="370">
        <v>0.52000545963988332</v>
      </c>
      <c r="I168" s="370">
        <v>6.3737181963545711E-3</v>
      </c>
      <c r="J168" s="370">
        <v>-0.6219591375194069</v>
      </c>
      <c r="K168" s="370">
        <v>-9.9114119070787907E-3</v>
      </c>
      <c r="L168" s="370">
        <v>-8.8842091617746671E-2</v>
      </c>
      <c r="M168" s="370">
        <v>-1.4043735345025217E-2</v>
      </c>
      <c r="N168" s="891">
        <v>-0.11988664428572704</v>
      </c>
      <c r="O168" s="891">
        <v>0.93761535482831126</v>
      </c>
    </row>
    <row r="169" spans="2:15">
      <c r="F169" s="370">
        <v>0.11426546935000274</v>
      </c>
      <c r="G169" s="370">
        <v>0.21099704237418962</v>
      </c>
      <c r="H169" s="370">
        <v>0.3580109474332826</v>
      </c>
      <c r="I169" s="370">
        <v>5.0354263082896707E-3</v>
      </c>
      <c r="J169" s="370">
        <v>-0.68005809231960601</v>
      </c>
      <c r="K169" s="370">
        <v>-1.6461272668873959E-2</v>
      </c>
      <c r="L169" s="370">
        <v>-0.12067877758769965</v>
      </c>
      <c r="M169" s="370">
        <v>-1.4618084511545434E-2</v>
      </c>
      <c r="N169" s="891">
        <v>-0.10902534562583889</v>
      </c>
      <c r="O169" s="891">
        <v>0.68830888546576474</v>
      </c>
    </row>
    <row r="170" spans="2:15">
      <c r="F170" s="891">
        <v>8.8733436671667498E-2</v>
      </c>
      <c r="G170" s="891">
        <v>0.16913762801432269</v>
      </c>
      <c r="H170" s="891">
        <v>0.26669180018781674</v>
      </c>
      <c r="I170" s="891">
        <v>3.9457815239206896E-3</v>
      </c>
      <c r="J170" s="891">
        <v>-0.7988051450451088</v>
      </c>
      <c r="K170" s="891">
        <v>-2.6203192210973836E-2</v>
      </c>
      <c r="L170" s="891">
        <v>-0.1693999606986703</v>
      </c>
      <c r="M170" s="891">
        <v>-1.1382206538552033E-2</v>
      </c>
      <c r="N170" s="891">
        <v>-0.11244904122060595</v>
      </c>
      <c r="O170" s="891">
        <v>0.52850864639772765</v>
      </c>
    </row>
    <row r="173" spans="2:15">
      <c r="B173" s="370">
        <f>0.44/0.19</f>
        <v>2.3157894736842106</v>
      </c>
    </row>
    <row r="175" spans="2:15">
      <c r="I175" s="891"/>
      <c r="J175" s="891"/>
      <c r="K175" s="891"/>
    </row>
    <row r="197" spans="2:22">
      <c r="E197" s="492"/>
      <c r="F197" s="492"/>
      <c r="G197" s="492"/>
      <c r="H197" s="492"/>
      <c r="I197" s="492"/>
      <c r="J197" s="492"/>
      <c r="K197" s="492"/>
      <c r="L197" s="492"/>
      <c r="M197" s="492"/>
      <c r="N197" s="492"/>
      <c r="O197" s="492"/>
      <c r="P197" s="492"/>
      <c r="Q197" s="492"/>
      <c r="R197" s="492"/>
      <c r="S197" s="492"/>
      <c r="T197" s="492"/>
      <c r="U197" s="492"/>
      <c r="V197" s="492"/>
    </row>
    <row r="198" spans="2:22">
      <c r="D198" s="573"/>
      <c r="E198" s="492"/>
      <c r="F198" s="492"/>
      <c r="G198" s="492"/>
      <c r="H198" s="492"/>
      <c r="I198" s="492"/>
      <c r="J198" s="492"/>
      <c r="K198" s="492"/>
      <c r="L198" s="492"/>
      <c r="M198" s="492"/>
      <c r="N198" s="492"/>
      <c r="O198" s="492"/>
      <c r="P198" s="492"/>
      <c r="Q198" s="492"/>
      <c r="R198" s="492"/>
      <c r="S198" s="492"/>
      <c r="T198" s="492"/>
      <c r="U198" s="492"/>
      <c r="V198" s="492"/>
    </row>
    <row r="199" spans="2:22">
      <c r="D199" s="573"/>
      <c r="E199" s="492"/>
      <c r="F199" s="492"/>
      <c r="G199" s="492"/>
      <c r="H199" s="492"/>
      <c r="I199" s="492"/>
      <c r="J199" s="492"/>
      <c r="K199" s="492"/>
      <c r="L199" s="492"/>
      <c r="M199" s="492"/>
      <c r="N199" s="492"/>
      <c r="O199" s="492"/>
      <c r="P199" s="492"/>
      <c r="Q199" s="492"/>
      <c r="R199" s="492"/>
      <c r="S199" s="492"/>
      <c r="T199" s="492"/>
      <c r="U199" s="492"/>
      <c r="V199" s="492"/>
    </row>
    <row r="200" spans="2:22">
      <c r="D200" s="573"/>
      <c r="E200" s="492"/>
      <c r="F200" s="492"/>
      <c r="G200" s="492"/>
      <c r="H200" s="492"/>
      <c r="I200" s="492"/>
      <c r="J200" s="492"/>
      <c r="K200" s="492"/>
      <c r="L200" s="492"/>
      <c r="M200" s="492"/>
      <c r="N200" s="492"/>
      <c r="O200" s="492"/>
      <c r="P200" s="492"/>
      <c r="Q200" s="492"/>
      <c r="R200" s="492"/>
      <c r="S200" s="492"/>
      <c r="T200" s="492"/>
      <c r="U200" s="492"/>
      <c r="V200" s="492"/>
    </row>
    <row r="201" spans="2:22">
      <c r="D201" s="573"/>
      <c r="E201" s="492"/>
      <c r="F201" s="492"/>
      <c r="G201" s="492"/>
      <c r="H201" s="492"/>
      <c r="I201" s="492"/>
      <c r="J201" s="492"/>
      <c r="K201" s="492"/>
      <c r="L201" s="492"/>
      <c r="M201" s="492"/>
      <c r="N201" s="492"/>
      <c r="O201" s="492"/>
      <c r="P201" s="492"/>
      <c r="Q201" s="492"/>
      <c r="R201" s="492"/>
      <c r="S201" s="492"/>
      <c r="T201" s="492"/>
      <c r="U201" s="492"/>
      <c r="V201" s="492"/>
    </row>
    <row r="202" spans="2:22">
      <c r="D202" s="573"/>
      <c r="E202" s="492"/>
      <c r="F202" s="492"/>
      <c r="G202" s="492"/>
      <c r="H202" s="492"/>
      <c r="I202" s="492"/>
      <c r="J202" s="492"/>
      <c r="K202" s="492"/>
      <c r="L202" s="492"/>
      <c r="M202" s="492"/>
      <c r="N202" s="492"/>
      <c r="O202" s="492"/>
      <c r="P202" s="492"/>
      <c r="Q202" s="492"/>
      <c r="R202" s="492"/>
      <c r="S202" s="492"/>
      <c r="T202" s="492"/>
      <c r="U202" s="492"/>
      <c r="V202" s="492"/>
    </row>
    <row r="203" spans="2:22">
      <c r="E203" s="492"/>
      <c r="F203" s="492"/>
      <c r="G203" s="492"/>
      <c r="H203" s="492"/>
      <c r="I203" s="492"/>
      <c r="J203" s="492"/>
      <c r="K203" s="492"/>
      <c r="L203" s="492"/>
      <c r="M203" s="492"/>
      <c r="N203" s="492"/>
      <c r="O203" s="492"/>
      <c r="P203" s="492"/>
      <c r="Q203" s="492"/>
      <c r="R203" s="492"/>
      <c r="S203" s="492"/>
      <c r="T203" s="492"/>
      <c r="U203" s="492"/>
      <c r="V203" s="492"/>
    </row>
    <row r="204" spans="2:22">
      <c r="B204" s="525"/>
      <c r="E204" s="492"/>
      <c r="F204" s="492"/>
      <c r="G204" s="492"/>
      <c r="H204" s="492"/>
      <c r="I204" s="492"/>
      <c r="J204" s="492"/>
      <c r="K204" s="492"/>
      <c r="L204" s="492"/>
      <c r="M204" s="492"/>
      <c r="N204" s="492"/>
      <c r="O204" s="492"/>
      <c r="P204" s="492"/>
      <c r="Q204" s="492"/>
      <c r="R204" s="492"/>
      <c r="S204" s="492"/>
      <c r="T204" s="492"/>
      <c r="U204" s="492"/>
      <c r="V204" s="492"/>
    </row>
    <row r="205" spans="2:22">
      <c r="B205" s="525"/>
      <c r="D205" s="573"/>
      <c r="E205" s="492"/>
      <c r="F205" s="492"/>
      <c r="G205" s="492"/>
      <c r="H205" s="492"/>
      <c r="I205" s="492"/>
      <c r="J205" s="492"/>
      <c r="K205" s="492"/>
      <c r="L205" s="492"/>
      <c r="M205" s="492"/>
      <c r="N205" s="492"/>
      <c r="O205" s="492"/>
      <c r="P205" s="492"/>
      <c r="Q205" s="492"/>
      <c r="R205" s="492"/>
      <c r="S205" s="492"/>
      <c r="T205" s="492"/>
      <c r="U205" s="492"/>
      <c r="V205" s="492"/>
    </row>
    <row r="206" spans="2:22">
      <c r="B206" s="573"/>
      <c r="E206" s="492"/>
      <c r="F206" s="492"/>
      <c r="G206" s="492"/>
      <c r="H206" s="492"/>
      <c r="I206" s="492"/>
      <c r="J206" s="492"/>
      <c r="K206" s="492"/>
      <c r="L206" s="492"/>
      <c r="M206" s="492"/>
      <c r="N206" s="492"/>
      <c r="O206" s="492"/>
      <c r="P206" s="492"/>
      <c r="Q206" s="492"/>
      <c r="R206" s="492"/>
      <c r="S206" s="492"/>
      <c r="T206" s="492"/>
      <c r="U206" s="492"/>
      <c r="V206" s="492"/>
    </row>
    <row r="207" spans="2:22">
      <c r="B207" s="573"/>
    </row>
  </sheetData>
  <mergeCells count="1">
    <mergeCell ref="B3:D3"/>
  </mergeCells>
  <phoneticPr fontId="8" type="noConversion"/>
  <pageMargins left="0.7" right="0.7" top="0.75" bottom="0.75" header="0.3" footer="0.3"/>
  <pageSetup paperSize="9" scale="6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63C6F-219B-43EA-AFC6-8C78851FAF4C}">
  <dimension ref="A1:BC215"/>
  <sheetViews>
    <sheetView topLeftCell="A20" zoomScale="55" zoomScaleNormal="55" workbookViewId="0">
      <selection activeCell="B31" sqref="B31"/>
    </sheetView>
  </sheetViews>
  <sheetFormatPr defaultColWidth="9.125" defaultRowHeight="16.5"/>
  <cols>
    <col min="1" max="1" width="5.5" style="370" customWidth="1"/>
    <col min="2" max="2" width="54" style="370" customWidth="1"/>
    <col min="3" max="3" width="8.25" style="370" customWidth="1"/>
    <col min="4" max="4" width="45.125" style="370" bestFit="1" customWidth="1"/>
    <col min="5" max="8" width="19" style="370" hidden="1" customWidth="1"/>
    <col min="9" max="13" width="19.875" style="371" hidden="1" customWidth="1"/>
    <col min="14" max="14" width="39.5" style="371" bestFit="1" customWidth="1"/>
    <col min="15" max="15" width="41.25" style="371" bestFit="1" customWidth="1"/>
    <col min="16" max="18" width="18.5" style="371" customWidth="1"/>
    <col min="19" max="19" width="19.5" style="543" customWidth="1"/>
    <col min="20" max="20" width="18.5" style="543" customWidth="1"/>
    <col min="21" max="21" width="19" style="385" customWidth="1"/>
    <col min="22" max="22" width="21.5" style="385" customWidth="1"/>
    <col min="23" max="23" width="17" style="385" customWidth="1"/>
    <col min="24" max="24" width="12.25" style="385" customWidth="1"/>
    <col min="25" max="25" width="18.875" style="370" bestFit="1" customWidth="1"/>
    <col min="26" max="26" width="18.5" style="370" bestFit="1" customWidth="1"/>
    <col min="27" max="27" width="17.875" style="370" hidden="1" customWidth="1"/>
    <col min="28" max="28" width="18.75" style="370" customWidth="1"/>
    <col min="29" max="29" width="22" style="370" customWidth="1"/>
    <col min="30" max="32" width="15" style="370" customWidth="1"/>
    <col min="33" max="33" width="25.625" style="370" bestFit="1" customWidth="1"/>
    <col min="34" max="35" width="15" style="370" customWidth="1"/>
    <col min="36" max="36" width="16.25" style="370" customWidth="1"/>
    <col min="37" max="37" width="21.125" style="370" customWidth="1"/>
    <col min="38" max="41" width="16.5" style="370" customWidth="1"/>
    <col min="42" max="42" width="15.25" style="370" bestFit="1" customWidth="1"/>
    <col min="43" max="43" width="15.25" style="370" customWidth="1"/>
    <col min="44" max="44" width="17" style="370" customWidth="1"/>
    <col min="45" max="46" width="16.5" style="370" bestFit="1" customWidth="1"/>
    <col min="47" max="47" width="13.5" style="370" customWidth="1"/>
    <col min="48" max="48" width="9.5" style="370" bestFit="1" customWidth="1"/>
    <col min="49" max="56" width="9.125" style="370"/>
    <col min="57" max="57" width="39.875" style="370" bestFit="1" customWidth="1"/>
    <col min="58" max="58" width="14.875" style="370" customWidth="1"/>
    <col min="59" max="59" width="10" style="370" bestFit="1" customWidth="1"/>
    <col min="60" max="16384" width="9.125" style="370"/>
  </cols>
  <sheetData>
    <row r="1" spans="1:35" ht="20.25">
      <c r="A1" s="45" t="s">
        <v>731</v>
      </c>
    </row>
    <row r="2" spans="1:35" ht="17.25" thickBot="1"/>
    <row r="3" spans="1:35" ht="21" thickBot="1">
      <c r="B3" s="945" t="s">
        <v>729</v>
      </c>
      <c r="C3" s="946"/>
      <c r="D3" s="947"/>
      <c r="E3" s="142"/>
      <c r="F3" s="142"/>
      <c r="G3" s="142"/>
      <c r="H3" s="142"/>
      <c r="I3" s="142"/>
      <c r="J3" s="142"/>
      <c r="K3" s="142"/>
      <c r="L3" s="142"/>
      <c r="M3" s="142"/>
      <c r="N3" s="359"/>
      <c r="O3" s="359"/>
      <c r="P3" s="359"/>
      <c r="Q3" s="359"/>
      <c r="R3" s="359"/>
      <c r="S3" s="544"/>
      <c r="T3" s="544"/>
      <c r="U3" s="359"/>
      <c r="V3" s="359"/>
      <c r="W3" s="359"/>
      <c r="X3" s="359"/>
    </row>
    <row r="4" spans="1:35">
      <c r="B4" s="372" t="s">
        <v>720</v>
      </c>
      <c r="C4" s="373"/>
      <c r="D4" s="374" t="s">
        <v>195</v>
      </c>
      <c r="E4" s="371"/>
      <c r="F4" s="371"/>
      <c r="G4" s="371"/>
      <c r="H4" s="371"/>
      <c r="N4" s="375"/>
      <c r="O4" s="375"/>
      <c r="P4" s="375"/>
      <c r="Q4" s="375"/>
      <c r="R4" s="375"/>
      <c r="S4" s="545"/>
      <c r="T4" s="545"/>
      <c r="U4" s="375"/>
      <c r="V4" s="375"/>
      <c r="W4" s="375"/>
      <c r="X4" s="375"/>
      <c r="AB4" s="435"/>
    </row>
    <row r="5" spans="1:35">
      <c r="B5" s="376" t="s">
        <v>723</v>
      </c>
      <c r="C5" s="377"/>
      <c r="D5" s="378" t="s">
        <v>228</v>
      </c>
      <c r="E5" s="371"/>
      <c r="F5" s="371"/>
      <c r="G5" s="371"/>
      <c r="H5" s="371"/>
      <c r="N5" s="375"/>
      <c r="O5" s="375"/>
      <c r="P5" s="375"/>
      <c r="Q5" s="375"/>
      <c r="R5" s="375"/>
      <c r="S5" s="545"/>
      <c r="T5" s="545"/>
      <c r="U5" s="375"/>
      <c r="V5" s="375"/>
      <c r="W5" s="375"/>
      <c r="X5" s="375"/>
      <c r="AB5" s="435"/>
    </row>
    <row r="6" spans="1:35">
      <c r="B6" s="376" t="s">
        <v>724</v>
      </c>
      <c r="C6" s="377"/>
      <c r="D6" s="378" t="s">
        <v>234</v>
      </c>
      <c r="E6" s="371"/>
      <c r="F6" s="371"/>
      <c r="G6" s="371"/>
      <c r="H6" s="371"/>
      <c r="N6" s="375"/>
      <c r="O6" s="375"/>
      <c r="P6" s="375"/>
      <c r="Q6" s="375"/>
      <c r="R6" s="375"/>
      <c r="S6" s="545"/>
      <c r="T6" s="545"/>
      <c r="U6" s="375"/>
      <c r="V6" s="375"/>
      <c r="W6" s="375"/>
      <c r="X6" s="375"/>
      <c r="AB6" s="435"/>
    </row>
    <row r="7" spans="1:35">
      <c r="B7" s="380" t="s">
        <v>725</v>
      </c>
      <c r="C7" s="377"/>
      <c r="D7" s="378">
        <v>30</v>
      </c>
      <c r="E7" s="371"/>
      <c r="F7" s="371"/>
      <c r="G7" s="371"/>
      <c r="H7" s="371"/>
      <c r="N7" s="375"/>
      <c r="O7" s="375"/>
      <c r="P7" s="375"/>
      <c r="Q7" s="375"/>
      <c r="R7" s="375"/>
      <c r="S7" s="545"/>
      <c r="T7" s="545"/>
      <c r="U7" s="375"/>
      <c r="V7" s="375"/>
      <c r="W7" s="375"/>
      <c r="X7" s="375"/>
    </row>
    <row r="8" spans="1:35">
      <c r="B8" s="380" t="s">
        <v>726</v>
      </c>
      <c r="C8" s="377"/>
      <c r="D8" s="378">
        <v>8000</v>
      </c>
      <c r="E8" s="371"/>
      <c r="F8" s="371"/>
      <c r="G8" s="371"/>
      <c r="H8" s="371"/>
      <c r="N8" s="375"/>
      <c r="O8" s="375"/>
      <c r="P8" s="375"/>
      <c r="Q8" s="375"/>
      <c r="R8" s="375"/>
      <c r="S8" s="545"/>
      <c r="T8" s="545"/>
      <c r="U8" s="375"/>
      <c r="V8" s="375"/>
      <c r="W8" s="375"/>
      <c r="X8" s="375"/>
    </row>
    <row r="9" spans="1:35">
      <c r="B9" s="380" t="s">
        <v>722</v>
      </c>
      <c r="C9" s="377"/>
      <c r="D9" s="378" t="s">
        <v>730</v>
      </c>
      <c r="E9" s="371"/>
      <c r="F9" s="371"/>
      <c r="G9" s="371"/>
      <c r="H9" s="371"/>
      <c r="N9" s="375"/>
      <c r="O9" s="375"/>
      <c r="P9" s="375"/>
      <c r="Q9" s="375"/>
      <c r="R9" s="375"/>
      <c r="S9" s="545"/>
      <c r="T9" s="545"/>
      <c r="U9" s="375"/>
      <c r="V9" s="375"/>
      <c r="W9" s="375"/>
      <c r="X9" s="375"/>
      <c r="Y9" s="352"/>
    </row>
    <row r="10" spans="1:35">
      <c r="B10" s="380" t="s">
        <v>727</v>
      </c>
      <c r="C10" s="377"/>
      <c r="D10" s="381">
        <f>8%*1</f>
        <v>0.08</v>
      </c>
      <c r="E10" s="371"/>
      <c r="F10" s="371"/>
      <c r="G10" s="371"/>
      <c r="H10" s="371"/>
      <c r="N10" s="382"/>
      <c r="O10" s="382"/>
      <c r="P10" s="382"/>
      <c r="Q10" s="382"/>
      <c r="R10" s="382"/>
      <c r="S10" s="546"/>
      <c r="T10" s="546"/>
      <c r="U10" s="382"/>
      <c r="V10" s="382"/>
      <c r="W10" s="382"/>
      <c r="X10" s="382"/>
      <c r="Y10" s="375"/>
      <c r="Z10" s="435"/>
      <c r="AA10" s="435"/>
      <c r="AB10" s="435"/>
    </row>
    <row r="11" spans="1:35">
      <c r="B11" s="380" t="s">
        <v>728</v>
      </c>
      <c r="C11" s="377"/>
      <c r="D11" s="381">
        <f>35%*1</f>
        <v>0.35</v>
      </c>
      <c r="E11" s="371"/>
      <c r="F11" s="371"/>
      <c r="G11" s="371"/>
      <c r="H11" s="371"/>
      <c r="N11" s="382"/>
      <c r="O11" s="382"/>
      <c r="P11" s="382"/>
      <c r="Q11" s="382"/>
      <c r="R11" s="382"/>
      <c r="S11" s="546"/>
      <c r="T11" s="546"/>
      <c r="U11" s="382"/>
      <c r="V11" s="382"/>
      <c r="W11" s="382"/>
      <c r="X11" s="382"/>
      <c r="Y11" s="375"/>
      <c r="Z11" s="435"/>
      <c r="AA11" s="435"/>
      <c r="AB11" s="435"/>
    </row>
    <row r="12" spans="1:35">
      <c r="B12" s="380" t="s">
        <v>881</v>
      </c>
      <c r="C12" s="377"/>
      <c r="D12" s="381">
        <v>0.15</v>
      </c>
      <c r="E12" s="371"/>
      <c r="F12" s="371"/>
      <c r="G12" s="371"/>
      <c r="H12" s="371"/>
      <c r="N12" s="382"/>
      <c r="O12" s="382"/>
      <c r="P12" s="382"/>
      <c r="Q12" s="382"/>
      <c r="R12" s="382"/>
      <c r="S12" s="546"/>
      <c r="T12" s="546"/>
      <c r="U12" s="382"/>
      <c r="V12" s="382"/>
      <c r="W12" s="382"/>
      <c r="X12" s="382"/>
      <c r="Y12" s="375"/>
      <c r="Z12" s="435"/>
      <c r="AA12" s="435"/>
      <c r="AB12" s="435"/>
    </row>
    <row r="13" spans="1:35">
      <c r="B13" s="380" t="s">
        <v>882</v>
      </c>
      <c r="C13" s="377"/>
      <c r="D13" s="381">
        <v>0.25</v>
      </c>
      <c r="E13" s="371"/>
      <c r="F13" s="371"/>
      <c r="G13" s="371"/>
      <c r="H13" s="371"/>
      <c r="N13" s="382"/>
      <c r="O13" s="382"/>
      <c r="P13" s="382"/>
      <c r="Q13" s="382"/>
      <c r="R13" s="382"/>
      <c r="S13" s="546"/>
      <c r="T13" s="546"/>
      <c r="U13" s="382"/>
      <c r="V13" s="382"/>
      <c r="W13" s="382"/>
      <c r="X13" s="382"/>
      <c r="Y13" s="375"/>
      <c r="Z13" s="435"/>
      <c r="AA13" s="435"/>
      <c r="AB13" s="435"/>
    </row>
    <row r="14" spans="1:35" ht="17.25" thickBot="1">
      <c r="B14" s="380" t="s">
        <v>883</v>
      </c>
      <c r="C14" s="377"/>
      <c r="D14" s="381">
        <v>0.06</v>
      </c>
      <c r="E14" s="371"/>
      <c r="F14" s="371"/>
      <c r="G14" s="371"/>
      <c r="H14" s="371"/>
      <c r="N14" s="382"/>
      <c r="O14" s="382"/>
      <c r="P14" s="382"/>
      <c r="Q14" s="382"/>
      <c r="R14" s="382"/>
      <c r="S14" s="546"/>
      <c r="T14" s="546"/>
      <c r="U14" s="382"/>
      <c r="V14" s="382"/>
      <c r="W14" s="382"/>
      <c r="X14" s="382"/>
      <c r="Y14" s="375"/>
      <c r="Z14" s="435"/>
      <c r="AA14" s="435"/>
      <c r="AB14" s="435"/>
    </row>
    <row r="15" spans="1:35" ht="17.25" thickBot="1">
      <c r="B15" s="383" t="s">
        <v>874</v>
      </c>
      <c r="C15" s="384"/>
      <c r="D15" s="353">
        <f>D10*POWER(1+D10,D7)/(POWER(1+D10,D7)-1)</f>
        <v>8.8827433387272267E-2</v>
      </c>
      <c r="E15" s="371"/>
      <c r="F15" s="371"/>
      <c r="G15" s="371"/>
      <c r="H15" s="371"/>
      <c r="N15" s="360"/>
      <c r="O15" s="360"/>
      <c r="P15" s="360"/>
      <c r="Q15" s="360"/>
      <c r="R15" s="360"/>
      <c r="S15" s="547"/>
      <c r="U15" s="360"/>
      <c r="V15" s="360"/>
      <c r="W15" s="360"/>
      <c r="X15" s="360"/>
      <c r="Y15" s="375"/>
      <c r="Z15" s="435"/>
      <c r="AA15" s="435"/>
      <c r="AB15" s="435"/>
      <c r="AH15" s="379"/>
      <c r="AI15" s="379"/>
    </row>
    <row r="16" spans="1:35">
      <c r="E16" s="370">
        <v>2019</v>
      </c>
      <c r="I16" s="370"/>
      <c r="J16" s="370"/>
      <c r="K16" s="370"/>
      <c r="L16" s="370"/>
      <c r="M16" s="370"/>
      <c r="N16" s="370"/>
      <c r="O16" s="370"/>
      <c r="P16" s="370"/>
      <c r="Q16" s="370"/>
      <c r="R16" s="370"/>
      <c r="S16" s="548"/>
      <c r="T16" s="548"/>
      <c r="U16" s="370"/>
      <c r="V16" s="370"/>
      <c r="W16" s="370"/>
      <c r="X16" s="370"/>
      <c r="Y16" s="375"/>
      <c r="Z16" s="435"/>
      <c r="AA16" s="435"/>
      <c r="AB16" s="435"/>
    </row>
    <row r="17" spans="1:52">
      <c r="F17" s="391">
        <f>F18-F23</f>
        <v>-69504144.023599386</v>
      </c>
      <c r="G17" s="391">
        <f t="shared" ref="G17:O17" si="0">G18-G23</f>
        <v>-99623119.509515941</v>
      </c>
      <c r="H17" s="391">
        <f t="shared" si="0"/>
        <v>-105921746.47642213</v>
      </c>
      <c r="I17" s="391">
        <f t="shared" si="0"/>
        <v>-88793317.581985235</v>
      </c>
      <c r="J17" s="391">
        <f t="shared" si="0"/>
        <v>-265617562.03114212</v>
      </c>
      <c r="K17" s="391">
        <f t="shared" si="0"/>
        <v>8447844.6701016426</v>
      </c>
      <c r="L17" s="391">
        <f t="shared" si="0"/>
        <v>-111797764.23288447</v>
      </c>
      <c r="M17" s="391">
        <f t="shared" si="0"/>
        <v>-794744.66058635712</v>
      </c>
      <c r="N17" s="391">
        <f t="shared" si="0"/>
        <v>-387646682.10444504</v>
      </c>
      <c r="O17" s="391">
        <f t="shared" si="0"/>
        <v>-85504918.399122059</v>
      </c>
      <c r="P17" s="370"/>
      <c r="Q17" s="370"/>
      <c r="R17" s="370"/>
      <c r="S17" s="548"/>
      <c r="T17" s="548"/>
      <c r="U17" s="370"/>
      <c r="V17" s="370"/>
      <c r="W17" s="370"/>
      <c r="X17" s="370"/>
      <c r="Y17" s="375"/>
      <c r="Z17" s="435"/>
      <c r="AA17" s="435"/>
      <c r="AB17" s="435"/>
    </row>
    <row r="18" spans="1:52" ht="20.25">
      <c r="A18" s="45" t="s">
        <v>902</v>
      </c>
      <c r="E18" s="370">
        <v>562394792.4026978</v>
      </c>
      <c r="F18" s="370">
        <v>663262762.57693946</v>
      </c>
      <c r="G18" s="370">
        <v>502974751.60192317</v>
      </c>
      <c r="H18" s="370">
        <v>444865513.59782344</v>
      </c>
      <c r="I18" s="370">
        <v>409825899.24222195</v>
      </c>
      <c r="J18" s="370">
        <v>531497550.19789469</v>
      </c>
      <c r="K18" s="370">
        <v>673552482.62037313</v>
      </c>
      <c r="L18" s="370">
        <v>493912457.3389048</v>
      </c>
      <c r="M18" s="370">
        <v>551945586.08113837</v>
      </c>
      <c r="N18" s="370">
        <v>382809414.95552284</v>
      </c>
      <c r="O18" s="370">
        <v>528630075.02169842</v>
      </c>
      <c r="P18" s="370"/>
      <c r="Q18" s="370"/>
      <c r="R18" s="370"/>
      <c r="S18" s="548"/>
      <c r="T18" s="548"/>
      <c r="U18" s="370"/>
      <c r="V18" s="370"/>
      <c r="W18" s="370"/>
      <c r="X18" s="370"/>
      <c r="Y18" s="375"/>
      <c r="Z18" s="435"/>
      <c r="AA18" s="435"/>
      <c r="AB18" s="435"/>
    </row>
    <row r="19" spans="1:52" ht="17.25" thickBot="1">
      <c r="I19" s="370"/>
      <c r="J19" s="370"/>
      <c r="K19" s="370"/>
      <c r="L19" s="370"/>
      <c r="M19" s="370"/>
      <c r="N19" s="370"/>
      <c r="O19" s="370"/>
      <c r="P19" s="370"/>
      <c r="Q19" s="573"/>
      <c r="R19" s="370"/>
      <c r="S19" s="548"/>
      <c r="T19" s="549"/>
      <c r="U19" s="370"/>
      <c r="V19" s="370"/>
      <c r="W19" s="370"/>
      <c r="X19" s="370"/>
    </row>
    <row r="20" spans="1:52" ht="21" thickBot="1">
      <c r="B20" s="516"/>
      <c r="C20" s="517"/>
      <c r="D20" s="517"/>
      <c r="E20" s="517" t="s">
        <v>773</v>
      </c>
      <c r="F20" s="315" t="s">
        <v>1147</v>
      </c>
      <c r="G20" s="315" t="s">
        <v>1148</v>
      </c>
      <c r="H20" s="315" t="s">
        <v>1149</v>
      </c>
      <c r="I20" s="315" t="s">
        <v>1150</v>
      </c>
      <c r="J20" s="841" t="s">
        <v>1164</v>
      </c>
      <c r="K20" s="842" t="s">
        <v>1166</v>
      </c>
      <c r="L20" s="842" t="s">
        <v>1167</v>
      </c>
      <c r="M20" s="842" t="s">
        <v>1168</v>
      </c>
      <c r="N20" s="843" t="s">
        <v>1172</v>
      </c>
      <c r="O20" s="843" t="s">
        <v>1174</v>
      </c>
      <c r="P20" s="844" t="s">
        <v>1176</v>
      </c>
      <c r="Q20" s="844" t="s">
        <v>1178</v>
      </c>
      <c r="R20" s="845" t="s">
        <v>1180</v>
      </c>
      <c r="S20" s="875" t="s">
        <v>1182</v>
      </c>
      <c r="T20" s="875" t="s">
        <v>1184</v>
      </c>
      <c r="U20" s="875" t="s">
        <v>1186</v>
      </c>
      <c r="V20" s="351"/>
      <c r="W20" s="351"/>
      <c r="X20" s="351"/>
      <c r="Y20" s="351"/>
      <c r="Z20" s="351"/>
      <c r="AA20" s="351"/>
      <c r="AB20" s="351"/>
      <c r="AC20" s="351"/>
      <c r="AD20" s="351"/>
      <c r="AE20" s="351"/>
      <c r="AF20" s="351"/>
      <c r="AG20" s="351"/>
      <c r="AH20" s="351"/>
      <c r="AI20" s="351"/>
      <c r="AJ20" s="351"/>
      <c r="AK20" s="351"/>
      <c r="AL20" s="351"/>
      <c r="AM20" s="351"/>
    </row>
    <row r="21" spans="1:52">
      <c r="B21" s="592" t="s">
        <v>866</v>
      </c>
      <c r="C21" s="228"/>
      <c r="D21" s="593">
        <f>SUBTOTAL(9,D22:D36)</f>
        <v>5.0400000000000009</v>
      </c>
      <c r="E21" s="623" t="e">
        <f t="shared" ref="E21:S21" si="1">E22+E31</f>
        <v>#REF!</v>
      </c>
      <c r="F21" s="623">
        <f t="shared" si="1"/>
        <v>3693145209.266716</v>
      </c>
      <c r="G21" s="623">
        <f t="shared" si="1"/>
        <v>3037093270.4016528</v>
      </c>
      <c r="H21" s="623">
        <f t="shared" si="1"/>
        <v>2775967790.7741976</v>
      </c>
      <c r="I21" s="623">
        <f t="shared" si="1"/>
        <v>2513040852.7940044</v>
      </c>
      <c r="J21" s="623">
        <f t="shared" si="1"/>
        <v>4017460165.6343451</v>
      </c>
      <c r="K21" s="691">
        <f>K22+K31</f>
        <v>3352127375.2693682</v>
      </c>
      <c r="L21" s="691">
        <f t="shared" si="1"/>
        <v>3052779516.721818</v>
      </c>
      <c r="M21" s="691">
        <f t="shared" si="1"/>
        <v>2785811266.9382925</v>
      </c>
      <c r="N21" s="691">
        <f>N22+N31</f>
        <v>3883098729.1822381</v>
      </c>
      <c r="O21" s="691">
        <f>O22+O31</f>
        <v>3095240366.8409352</v>
      </c>
      <c r="P21" s="624">
        <f t="shared" si="1"/>
        <v>2748263430.8227658</v>
      </c>
      <c r="Q21" s="624">
        <f t="shared" si="1"/>
        <v>2444115237.042398</v>
      </c>
      <c r="R21" s="901">
        <f t="shared" si="1"/>
        <v>3900853641.1822381</v>
      </c>
      <c r="S21" s="901">
        <f t="shared" si="1"/>
        <v>3132223382.8409352</v>
      </c>
      <c r="T21" s="901">
        <f t="shared" ref="T21:U21" si="2">T22+T31</f>
        <v>2787484710.8227658</v>
      </c>
      <c r="U21" s="902">
        <f t="shared" si="2"/>
        <v>2515091037.042398</v>
      </c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352"/>
      <c r="AY21" s="387"/>
      <c r="AZ21" s="386"/>
    </row>
    <row r="22" spans="1:52">
      <c r="B22" s="343" t="s">
        <v>867</v>
      </c>
      <c r="C22" s="436"/>
      <c r="D22" s="437">
        <f>SUBTOTAL(9,D23:D30)</f>
        <v>3.6000000000000005</v>
      </c>
      <c r="E22" s="626" t="e">
        <f t="shared" ref="E22:S22" si="3">SUM(E23:E30)</f>
        <v>#REF!</v>
      </c>
      <c r="F22" s="626">
        <f t="shared" si="3"/>
        <v>2637960863.76194</v>
      </c>
      <c r="G22" s="626">
        <f t="shared" si="3"/>
        <v>2169352336.0011806</v>
      </c>
      <c r="H22" s="626">
        <f t="shared" si="3"/>
        <v>1982834136.2672842</v>
      </c>
      <c r="I22" s="626">
        <f t="shared" si="3"/>
        <v>1795029180.5671458</v>
      </c>
      <c r="J22" s="626">
        <f t="shared" si="3"/>
        <v>2869614404.0245323</v>
      </c>
      <c r="K22" s="692">
        <f>SUM(K23:K30)</f>
        <v>2394376696.6209774</v>
      </c>
      <c r="L22" s="692">
        <f>SUM(L23:L30)</f>
        <v>2180556797.6584415</v>
      </c>
      <c r="M22" s="692">
        <f>SUM(M23:M30)</f>
        <v>1989865190.6702089</v>
      </c>
      <c r="N22" s="692">
        <f t="shared" si="3"/>
        <v>2773641949.4158845</v>
      </c>
      <c r="O22" s="692">
        <f t="shared" ref="O22" si="4">SUM(O23:O30)</f>
        <v>2210885976.3149538</v>
      </c>
      <c r="P22" s="627">
        <f t="shared" si="3"/>
        <v>1963045307.730547</v>
      </c>
      <c r="Q22" s="627">
        <f t="shared" si="3"/>
        <v>1745796597.8874271</v>
      </c>
      <c r="R22" s="903">
        <f t="shared" si="3"/>
        <v>2786324029.4158845</v>
      </c>
      <c r="S22" s="903">
        <f t="shared" si="3"/>
        <v>2237302416.3149538</v>
      </c>
      <c r="T22" s="903">
        <f t="shared" ref="T22:U22" si="5">SUM(T23:T30)</f>
        <v>1991060507.730547</v>
      </c>
      <c r="U22" s="904">
        <f t="shared" si="5"/>
        <v>1796493597.8874271</v>
      </c>
      <c r="AY22" s="387"/>
      <c r="AZ22" s="386"/>
    </row>
    <row r="23" spans="1:52">
      <c r="B23" s="222" t="s">
        <v>612</v>
      </c>
      <c r="C23" s="358"/>
      <c r="D23" s="388">
        <v>1</v>
      </c>
      <c r="E23" s="629" t="e">
        <f>#REF!</f>
        <v>#REF!</v>
      </c>
      <c r="F23" s="629">
        <f>'2-2. Equipment cost'!D2</f>
        <v>732766906.60053885</v>
      </c>
      <c r="G23" s="629">
        <f>'2-2. Equipment cost'!E2</f>
        <v>602597871.11143911</v>
      </c>
      <c r="H23" s="629">
        <f>'2-2. Equipment cost'!F2</f>
        <v>550787260.07424557</v>
      </c>
      <c r="I23" s="629">
        <f>'2-2. Equipment cost'!G2</f>
        <v>498619216.82420719</v>
      </c>
      <c r="J23" s="629">
        <f>'2-2. Equipment cost'!H2</f>
        <v>797115112.22903681</v>
      </c>
      <c r="K23" s="629">
        <f>'2-2. Equipment cost'!I2</f>
        <v>665104637.95027149</v>
      </c>
      <c r="L23" s="629">
        <f>'2-2. Equipment cost'!J2</f>
        <v>605710221.57178926</v>
      </c>
      <c r="M23" s="629">
        <f>'2-2. Equipment cost'!K2</f>
        <v>552740330.74172473</v>
      </c>
      <c r="N23" s="629">
        <f>'2-2. Equipment cost'!L2</f>
        <v>770456097.05996788</v>
      </c>
      <c r="O23" s="629">
        <f>'2-2. Equipment cost'!M2</f>
        <v>614134993.42082047</v>
      </c>
      <c r="P23" s="629">
        <f>'2-2. Equipment cost'!N2</f>
        <v>545290363.25848532</v>
      </c>
      <c r="Q23" s="629">
        <f>'2-2. Equipment cost'!O2</f>
        <v>484943499.41317427</v>
      </c>
      <c r="R23" s="905">
        <f>'2-2. Equipment cost'!P2</f>
        <v>773978897.05996788</v>
      </c>
      <c r="S23" s="905">
        <f>'2-2. Equipment cost'!Q2</f>
        <v>621472893.42082047</v>
      </c>
      <c r="T23" s="905">
        <f>'2-2. Equipment cost'!R2</f>
        <v>553072363.25848532</v>
      </c>
      <c r="U23" s="906">
        <f>'2-2. Equipment cost'!S2</f>
        <v>499025999.41317427</v>
      </c>
      <c r="AC23" s="43"/>
      <c r="AD23" s="43"/>
      <c r="AE23" s="43"/>
      <c r="AF23" s="43"/>
      <c r="AG23" s="43"/>
      <c r="AH23" s="43"/>
      <c r="AI23" s="43"/>
      <c r="AJ23" s="43"/>
      <c r="AK23" s="43"/>
      <c r="AL23" s="46"/>
      <c r="AM23" s="46"/>
      <c r="AN23" s="46"/>
      <c r="AO23" s="46"/>
      <c r="AP23" s="46"/>
      <c r="AQ23" s="46"/>
      <c r="AR23" s="46"/>
      <c r="AS23" s="46"/>
      <c r="AT23" s="389"/>
      <c r="AZ23" s="386"/>
    </row>
    <row r="24" spans="1:52">
      <c r="B24" s="222" t="s">
        <v>635</v>
      </c>
      <c r="C24" s="358"/>
      <c r="D24" s="388">
        <v>0.47</v>
      </c>
      <c r="E24" s="630" t="e">
        <f t="shared" ref="E24:T36" si="6">E$23*$D24</f>
        <v>#REF!</v>
      </c>
      <c r="F24" s="630">
        <f t="shared" si="6"/>
        <v>344400446.10225326</v>
      </c>
      <c r="G24" s="630">
        <f t="shared" si="6"/>
        <v>283220999.42237639</v>
      </c>
      <c r="H24" s="630">
        <f t="shared" si="6"/>
        <v>258870012.23489541</v>
      </c>
      <c r="I24" s="630">
        <f t="shared" si="6"/>
        <v>234351031.90737736</v>
      </c>
      <c r="J24" s="630">
        <f t="shared" si="6"/>
        <v>374644102.74764729</v>
      </c>
      <c r="K24" s="693">
        <f t="shared" si="6"/>
        <v>312599179.8366276</v>
      </c>
      <c r="L24" s="693">
        <f t="shared" si="6"/>
        <v>284683804.13874096</v>
      </c>
      <c r="M24" s="693">
        <f t="shared" si="6"/>
        <v>259787955.4486106</v>
      </c>
      <c r="N24" s="693">
        <f t="shared" si="6"/>
        <v>362114365.61818486</v>
      </c>
      <c r="O24" s="693">
        <f t="shared" si="6"/>
        <v>288643446.90778559</v>
      </c>
      <c r="P24" s="631">
        <f t="shared" si="6"/>
        <v>256286470.73148808</v>
      </c>
      <c r="Q24" s="631">
        <f t="shared" si="6"/>
        <v>227923444.7241919</v>
      </c>
      <c r="R24" s="907">
        <f t="shared" si="6"/>
        <v>363770081.61818486</v>
      </c>
      <c r="S24" s="907">
        <f t="shared" si="6"/>
        <v>292092259.90778559</v>
      </c>
      <c r="T24" s="907">
        <f t="shared" si="6"/>
        <v>259944010.73148808</v>
      </c>
      <c r="U24" s="908">
        <f t="shared" ref="T24:U36" si="7">U$23*$D24</f>
        <v>234542219.7241919</v>
      </c>
      <c r="AC24" s="390"/>
      <c r="AQ24" s="391"/>
      <c r="AR24" s="391"/>
      <c r="AS24" s="391"/>
      <c r="AT24" s="389"/>
      <c r="AZ24" s="386"/>
    </row>
    <row r="25" spans="1:52">
      <c r="B25" s="222" t="s">
        <v>636</v>
      </c>
      <c r="C25" s="358"/>
      <c r="D25" s="388">
        <v>0.36</v>
      </c>
      <c r="E25" s="630" t="e">
        <f t="shared" si="6"/>
        <v>#REF!</v>
      </c>
      <c r="F25" s="630">
        <f t="shared" si="6"/>
        <v>263796086.37619397</v>
      </c>
      <c r="G25" s="630">
        <f t="shared" si="6"/>
        <v>216935233.60011807</v>
      </c>
      <c r="H25" s="630">
        <f t="shared" si="6"/>
        <v>198283413.62672839</v>
      </c>
      <c r="I25" s="630">
        <f t="shared" si="6"/>
        <v>179502918.05671459</v>
      </c>
      <c r="J25" s="630">
        <f t="shared" si="6"/>
        <v>286961440.40245324</v>
      </c>
      <c r="K25" s="693">
        <f t="shared" si="6"/>
        <v>239437669.66209772</v>
      </c>
      <c r="L25" s="693">
        <f t="shared" si="6"/>
        <v>218055679.76584414</v>
      </c>
      <c r="M25" s="693">
        <f t="shared" si="6"/>
        <v>198986519.06702089</v>
      </c>
      <c r="N25" s="693">
        <f t="shared" si="6"/>
        <v>277364194.9415884</v>
      </c>
      <c r="O25" s="693">
        <f t="shared" si="6"/>
        <v>221088597.63149536</v>
      </c>
      <c r="P25" s="631">
        <f t="shared" si="6"/>
        <v>196304530.77305472</v>
      </c>
      <c r="Q25" s="631">
        <f t="shared" si="6"/>
        <v>174579659.78874272</v>
      </c>
      <c r="R25" s="907">
        <f t="shared" si="6"/>
        <v>278632402.9415884</v>
      </c>
      <c r="S25" s="907">
        <f t="shared" si="6"/>
        <v>223730241.63149536</v>
      </c>
      <c r="T25" s="907">
        <f t="shared" si="7"/>
        <v>199106050.77305472</v>
      </c>
      <c r="U25" s="908">
        <f t="shared" si="7"/>
        <v>179649359.78874272</v>
      </c>
      <c r="AC25" s="43"/>
      <c r="AD25" s="43"/>
      <c r="AE25" s="43"/>
      <c r="AF25" s="43"/>
      <c r="AG25" s="43"/>
      <c r="AH25" s="43"/>
      <c r="AI25" s="43"/>
      <c r="AJ25" s="43"/>
      <c r="AK25" s="43"/>
      <c r="AQ25" s="46"/>
      <c r="AR25" s="46"/>
      <c r="AS25" s="46"/>
      <c r="AT25" s="389"/>
      <c r="AZ25" s="386"/>
    </row>
    <row r="26" spans="1:52">
      <c r="B26" s="222" t="s">
        <v>637</v>
      </c>
      <c r="C26" s="358"/>
      <c r="D26" s="388">
        <v>0.68</v>
      </c>
      <c r="E26" s="630" t="e">
        <f t="shared" si="6"/>
        <v>#REF!</v>
      </c>
      <c r="F26" s="630">
        <f t="shared" si="6"/>
        <v>498281496.48836643</v>
      </c>
      <c r="G26" s="630">
        <f t="shared" si="6"/>
        <v>409766552.35577863</v>
      </c>
      <c r="H26" s="630">
        <f t="shared" si="6"/>
        <v>374535336.85048699</v>
      </c>
      <c r="I26" s="630">
        <f t="shared" si="6"/>
        <v>339061067.44046092</v>
      </c>
      <c r="J26" s="630">
        <f t="shared" si="6"/>
        <v>542038276.31574512</v>
      </c>
      <c r="K26" s="693">
        <f t="shared" si="6"/>
        <v>452271153.80618465</v>
      </c>
      <c r="L26" s="693">
        <f t="shared" si="6"/>
        <v>411882950.66881675</v>
      </c>
      <c r="M26" s="693">
        <f t="shared" si="6"/>
        <v>375863424.90437287</v>
      </c>
      <c r="N26" s="693">
        <f t="shared" si="6"/>
        <v>523910146.0007782</v>
      </c>
      <c r="O26" s="693">
        <f t="shared" si="6"/>
        <v>417611795.52615798</v>
      </c>
      <c r="P26" s="631">
        <f t="shared" si="6"/>
        <v>370797447.01577002</v>
      </c>
      <c r="Q26" s="631">
        <f>Q$23*$D26</f>
        <v>329761579.60095853</v>
      </c>
      <c r="R26" s="907">
        <f>R$23*$D26</f>
        <v>526305650.0007782</v>
      </c>
      <c r="S26" s="907">
        <f>S$23*$D26</f>
        <v>422601567.52615798</v>
      </c>
      <c r="T26" s="907">
        <f t="shared" si="7"/>
        <v>376089207.01577002</v>
      </c>
      <c r="U26" s="908">
        <f t="shared" si="7"/>
        <v>339337679.60095853</v>
      </c>
      <c r="AC26" s="390"/>
      <c r="AQ26" s="391"/>
      <c r="AR26" s="391"/>
      <c r="AS26" s="391"/>
      <c r="AT26" s="389"/>
      <c r="AV26" s="392"/>
      <c r="AZ26" s="386"/>
    </row>
    <row r="27" spans="1:52">
      <c r="B27" s="222" t="s">
        <v>638</v>
      </c>
      <c r="C27" s="358"/>
      <c r="D27" s="388">
        <v>0.11</v>
      </c>
      <c r="E27" s="630" t="e">
        <f t="shared" si="6"/>
        <v>#REF!</v>
      </c>
      <c r="F27" s="630">
        <f t="shared" si="6"/>
        <v>80604359.726059273</v>
      </c>
      <c r="G27" s="630">
        <f t="shared" si="6"/>
        <v>66285765.822258301</v>
      </c>
      <c r="H27" s="630">
        <f t="shared" si="6"/>
        <v>60586598.608167015</v>
      </c>
      <c r="I27" s="630">
        <f t="shared" si="6"/>
        <v>54848113.85066279</v>
      </c>
      <c r="J27" s="630">
        <f t="shared" si="6"/>
        <v>87682662.345194057</v>
      </c>
      <c r="K27" s="693">
        <f t="shared" si="6"/>
        <v>73161510.174529865</v>
      </c>
      <c r="L27" s="693">
        <f t="shared" si="6"/>
        <v>66628124.37289682</v>
      </c>
      <c r="M27" s="693">
        <f t="shared" si="6"/>
        <v>60801436.381589718</v>
      </c>
      <c r="N27" s="693">
        <f t="shared" si="6"/>
        <v>84750170.676596463</v>
      </c>
      <c r="O27" s="693">
        <f t="shared" si="6"/>
        <v>67554849.276290253</v>
      </c>
      <c r="P27" s="631">
        <f t="shared" si="6"/>
        <v>59981939.958433382</v>
      </c>
      <c r="Q27" s="631">
        <f t="shared" si="6"/>
        <v>53343784.935449168</v>
      </c>
      <c r="R27" s="907">
        <f t="shared" si="6"/>
        <v>85137678.676596463</v>
      </c>
      <c r="S27" s="907">
        <f t="shared" si="6"/>
        <v>68362018.276290253</v>
      </c>
      <c r="T27" s="907">
        <f t="shared" si="7"/>
        <v>60837959.958433382</v>
      </c>
      <c r="U27" s="908">
        <f t="shared" si="7"/>
        <v>54892859.935449168</v>
      </c>
      <c r="AC27" s="390"/>
      <c r="AQ27" s="391"/>
      <c r="AR27" s="391"/>
      <c r="AS27" s="391"/>
      <c r="AT27" s="389"/>
      <c r="AV27" s="392"/>
      <c r="AZ27" s="386"/>
    </row>
    <row r="28" spans="1:52">
      <c r="B28" s="222" t="s">
        <v>639</v>
      </c>
      <c r="C28" s="358"/>
      <c r="D28" s="388">
        <v>0.18</v>
      </c>
      <c r="E28" s="630" t="e">
        <f t="shared" si="6"/>
        <v>#REF!</v>
      </c>
      <c r="F28" s="630">
        <f t="shared" si="6"/>
        <v>131898043.18809699</v>
      </c>
      <c r="G28" s="630">
        <f t="shared" si="6"/>
        <v>108467616.80005904</v>
      </c>
      <c r="H28" s="630">
        <f t="shared" si="6"/>
        <v>99141706.813364193</v>
      </c>
      <c r="I28" s="630">
        <f t="shared" si="6"/>
        <v>89751459.028357297</v>
      </c>
      <c r="J28" s="630">
        <f t="shared" si="6"/>
        <v>143480720.20122662</v>
      </c>
      <c r="K28" s="693">
        <f t="shared" si="6"/>
        <v>119718834.83104886</v>
      </c>
      <c r="L28" s="693">
        <f t="shared" si="6"/>
        <v>109027839.88292207</v>
      </c>
      <c r="M28" s="693">
        <f t="shared" si="6"/>
        <v>99493259.533510447</v>
      </c>
      <c r="N28" s="693">
        <f t="shared" si="6"/>
        <v>138682097.4707942</v>
      </c>
      <c r="O28" s="693">
        <f t="shared" si="6"/>
        <v>110544298.81574768</v>
      </c>
      <c r="P28" s="631">
        <f t="shared" si="6"/>
        <v>98152265.386527359</v>
      </c>
      <c r="Q28" s="631">
        <f t="shared" si="6"/>
        <v>87289829.894371361</v>
      </c>
      <c r="R28" s="907">
        <f t="shared" si="6"/>
        <v>139316201.4707942</v>
      </c>
      <c r="S28" s="907">
        <f t="shared" si="6"/>
        <v>111865120.81574768</v>
      </c>
      <c r="T28" s="907">
        <f t="shared" si="7"/>
        <v>99553025.386527359</v>
      </c>
      <c r="U28" s="908">
        <f t="shared" si="7"/>
        <v>89824679.894371361</v>
      </c>
      <c r="AC28" s="390"/>
      <c r="AQ28" s="572"/>
      <c r="AR28" s="572"/>
      <c r="AS28" s="572"/>
      <c r="AT28" s="389"/>
      <c r="AV28" s="392"/>
      <c r="AZ28" s="386"/>
    </row>
    <row r="29" spans="1:52">
      <c r="B29" s="222" t="s">
        <v>640</v>
      </c>
      <c r="C29" s="358"/>
      <c r="D29" s="388">
        <v>0.1</v>
      </c>
      <c r="E29" s="630" t="e">
        <f t="shared" si="6"/>
        <v>#REF!</v>
      </c>
      <c r="F29" s="630">
        <f t="shared" si="6"/>
        <v>73276690.660053894</v>
      </c>
      <c r="G29" s="630">
        <f t="shared" si="6"/>
        <v>60259787.111143917</v>
      </c>
      <c r="H29" s="630">
        <f t="shared" si="6"/>
        <v>55078726.007424563</v>
      </c>
      <c r="I29" s="630">
        <f t="shared" si="6"/>
        <v>49861921.682420723</v>
      </c>
      <c r="J29" s="630">
        <f t="shared" si="6"/>
        <v>79711511.222903684</v>
      </c>
      <c r="K29" s="693">
        <f t="shared" si="6"/>
        <v>66510463.795027152</v>
      </c>
      <c r="L29" s="693">
        <f t="shared" si="6"/>
        <v>60571022.157178931</v>
      </c>
      <c r="M29" s="693">
        <f t="shared" si="6"/>
        <v>55274033.074172474</v>
      </c>
      <c r="N29" s="693">
        <f t="shared" si="6"/>
        <v>77045609.705996796</v>
      </c>
      <c r="O29" s="693">
        <f t="shared" si="6"/>
        <v>61413499.342082053</v>
      </c>
      <c r="P29" s="631">
        <f t="shared" si="6"/>
        <v>54529036.325848535</v>
      </c>
      <c r="Q29" s="631">
        <f t="shared" si="6"/>
        <v>48494349.941317432</v>
      </c>
      <c r="R29" s="907">
        <f t="shared" si="6"/>
        <v>77397889.705996796</v>
      </c>
      <c r="S29" s="907">
        <f t="shared" si="6"/>
        <v>62147289.342082053</v>
      </c>
      <c r="T29" s="907">
        <f t="shared" si="7"/>
        <v>55307236.325848535</v>
      </c>
      <c r="U29" s="908">
        <f t="shared" si="7"/>
        <v>49902599.941317432</v>
      </c>
      <c r="AC29" s="43"/>
      <c r="AD29" s="43"/>
      <c r="AE29" s="43"/>
      <c r="AF29" s="43"/>
      <c r="AG29" s="43"/>
      <c r="AH29" s="43"/>
      <c r="AI29" s="43"/>
      <c r="AJ29" s="43"/>
      <c r="AK29" s="43"/>
      <c r="AQ29" s="391"/>
      <c r="AR29" s="391"/>
      <c r="AS29" s="391"/>
      <c r="AT29" s="389"/>
      <c r="AV29" s="392"/>
      <c r="AZ29" s="386"/>
    </row>
    <row r="30" spans="1:52">
      <c r="B30" s="222" t="s">
        <v>641</v>
      </c>
      <c r="C30" s="358"/>
      <c r="D30" s="388">
        <v>0.7</v>
      </c>
      <c r="E30" s="630" t="e">
        <f t="shared" si="6"/>
        <v>#REF!</v>
      </c>
      <c r="F30" s="630">
        <f t="shared" si="6"/>
        <v>512936834.62037718</v>
      </c>
      <c r="G30" s="630">
        <f t="shared" si="6"/>
        <v>421818509.77800733</v>
      </c>
      <c r="H30" s="630">
        <f t="shared" si="6"/>
        <v>385551082.05197185</v>
      </c>
      <c r="I30" s="630">
        <f t="shared" si="6"/>
        <v>349033451.77694499</v>
      </c>
      <c r="J30" s="630">
        <f t="shared" si="6"/>
        <v>557980578.56032574</v>
      </c>
      <c r="K30" s="693">
        <f t="shared" si="6"/>
        <v>465573246.56519002</v>
      </c>
      <c r="L30" s="693">
        <f t="shared" si="6"/>
        <v>423997155.10025245</v>
      </c>
      <c r="M30" s="693">
        <f t="shared" si="6"/>
        <v>386918231.5192073</v>
      </c>
      <c r="N30" s="693">
        <f t="shared" si="6"/>
        <v>539319267.9419775</v>
      </c>
      <c r="O30" s="693">
        <f t="shared" si="6"/>
        <v>429894495.39457428</v>
      </c>
      <c r="P30" s="631">
        <f t="shared" si="6"/>
        <v>381703254.2809397</v>
      </c>
      <c r="Q30" s="631">
        <f t="shared" si="6"/>
        <v>339460449.58922195</v>
      </c>
      <c r="R30" s="907">
        <f t="shared" si="6"/>
        <v>541785227.9419775</v>
      </c>
      <c r="S30" s="907">
        <f t="shared" si="6"/>
        <v>435031025.39457428</v>
      </c>
      <c r="T30" s="907">
        <f t="shared" si="7"/>
        <v>387150654.2809397</v>
      </c>
      <c r="U30" s="908">
        <f t="shared" si="7"/>
        <v>349318199.58922195</v>
      </c>
      <c r="AC30" s="393"/>
      <c r="AQ30" s="391"/>
      <c r="AR30" s="391"/>
      <c r="AS30" s="391"/>
      <c r="AT30" s="389"/>
      <c r="AV30" s="392"/>
      <c r="AZ30" s="386"/>
    </row>
    <row r="31" spans="1:52" s="574" customFormat="1">
      <c r="B31" s="343" t="s">
        <v>868</v>
      </c>
      <c r="C31" s="436"/>
      <c r="D31" s="437">
        <f>SUBTOTAL(9,D32:D36)</f>
        <v>1.44</v>
      </c>
      <c r="E31" s="626" t="e">
        <f t="shared" si="6"/>
        <v>#REF!</v>
      </c>
      <c r="F31" s="626">
        <f t="shared" si="6"/>
        <v>1055184345.5047759</v>
      </c>
      <c r="G31" s="626">
        <f t="shared" si="6"/>
        <v>867740934.40047228</v>
      </c>
      <c r="H31" s="626">
        <f t="shared" si="6"/>
        <v>793133654.50691354</v>
      </c>
      <c r="I31" s="626">
        <f t="shared" si="6"/>
        <v>718011672.22685838</v>
      </c>
      <c r="J31" s="626">
        <f t="shared" si="6"/>
        <v>1147845761.609813</v>
      </c>
      <c r="K31" s="692">
        <f>K$23*$D31</f>
        <v>957750678.64839089</v>
      </c>
      <c r="L31" s="692">
        <f t="shared" si="6"/>
        <v>872222719.06337655</v>
      </c>
      <c r="M31" s="692">
        <f t="shared" si="6"/>
        <v>795946076.26808357</v>
      </c>
      <c r="N31" s="692">
        <f t="shared" si="6"/>
        <v>1109456779.7663536</v>
      </c>
      <c r="O31" s="692">
        <f t="shared" si="6"/>
        <v>884354390.52598143</v>
      </c>
      <c r="P31" s="627">
        <f t="shared" si="6"/>
        <v>785218123.09221888</v>
      </c>
      <c r="Q31" s="627">
        <f t="shared" si="6"/>
        <v>698318639.15497088</v>
      </c>
      <c r="R31" s="903">
        <f t="shared" si="6"/>
        <v>1114529611.7663536</v>
      </c>
      <c r="S31" s="903">
        <f t="shared" si="6"/>
        <v>894920966.52598143</v>
      </c>
      <c r="T31" s="903">
        <f t="shared" si="7"/>
        <v>796424203.09221888</v>
      </c>
      <c r="U31" s="904">
        <f t="shared" si="7"/>
        <v>718597439.15497088</v>
      </c>
      <c r="AC31" s="354"/>
      <c r="AD31" s="370"/>
      <c r="AE31" s="370"/>
      <c r="AF31" s="370"/>
      <c r="AG31" s="370"/>
      <c r="AH31" s="370"/>
      <c r="AI31" s="370"/>
      <c r="AJ31" s="370"/>
      <c r="AK31" s="370"/>
      <c r="AL31" s="370"/>
      <c r="AM31" s="370"/>
      <c r="AN31" s="370"/>
      <c r="AO31" s="370"/>
      <c r="AP31" s="370"/>
      <c r="AQ31" s="451"/>
      <c r="AR31" s="451"/>
      <c r="AS31" s="451"/>
      <c r="AT31" s="389"/>
      <c r="AU31" s="370"/>
      <c r="AV31" s="392"/>
      <c r="AW31" s="370"/>
      <c r="AX31" s="370"/>
      <c r="AY31" s="370"/>
      <c r="AZ31" s="590"/>
    </row>
    <row r="32" spans="1:52">
      <c r="B32" s="222" t="s">
        <v>642</v>
      </c>
      <c r="C32" s="358"/>
      <c r="D32" s="388">
        <v>0.33</v>
      </c>
      <c r="E32" s="630" t="e">
        <f t="shared" si="6"/>
        <v>#REF!</v>
      </c>
      <c r="F32" s="630">
        <f t="shared" si="6"/>
        <v>241813079.17817783</v>
      </c>
      <c r="G32" s="630">
        <f t="shared" si="6"/>
        <v>198857297.46677491</v>
      </c>
      <c r="H32" s="630">
        <f t="shared" si="6"/>
        <v>181759795.82450104</v>
      </c>
      <c r="I32" s="630">
        <f t="shared" si="6"/>
        <v>164544341.55198839</v>
      </c>
      <c r="J32" s="630">
        <f t="shared" si="6"/>
        <v>263047987.03558215</v>
      </c>
      <c r="K32" s="693">
        <f t="shared" si="6"/>
        <v>219484530.52358961</v>
      </c>
      <c r="L32" s="693">
        <f t="shared" si="6"/>
        <v>199884373.11869046</v>
      </c>
      <c r="M32" s="693">
        <f t="shared" si="6"/>
        <v>182404309.14476916</v>
      </c>
      <c r="N32" s="693">
        <f t="shared" si="6"/>
        <v>254250512.02978942</v>
      </c>
      <c r="O32" s="693">
        <f t="shared" si="6"/>
        <v>202664547.82887077</v>
      </c>
      <c r="P32" s="631">
        <f t="shared" si="6"/>
        <v>179945819.87530017</v>
      </c>
      <c r="Q32" s="631">
        <f t="shared" si="6"/>
        <v>160031354.80634752</v>
      </c>
      <c r="R32" s="907">
        <f t="shared" si="6"/>
        <v>255413036.02978942</v>
      </c>
      <c r="S32" s="907">
        <f t="shared" si="6"/>
        <v>205086054.82887077</v>
      </c>
      <c r="T32" s="907">
        <f t="shared" si="7"/>
        <v>182513879.87530017</v>
      </c>
      <c r="U32" s="908">
        <f t="shared" si="7"/>
        <v>164678579.80634752</v>
      </c>
      <c r="AC32" s="585"/>
      <c r="AD32" s="574"/>
      <c r="AE32" s="574"/>
      <c r="AF32" s="574"/>
      <c r="AG32" s="574"/>
      <c r="AH32" s="574"/>
      <c r="AI32" s="574"/>
      <c r="AJ32" s="574"/>
      <c r="AK32" s="574"/>
      <c r="AL32" s="574"/>
      <c r="AM32" s="574"/>
      <c r="AN32" s="574"/>
      <c r="AO32" s="574"/>
      <c r="AP32" s="574"/>
      <c r="AQ32" s="586"/>
      <c r="AR32" s="586"/>
      <c r="AS32" s="586"/>
      <c r="AT32" s="587"/>
      <c r="AU32" s="574"/>
      <c r="AV32" s="588"/>
      <c r="AW32" s="574"/>
      <c r="AX32" s="574"/>
      <c r="AY32" s="574"/>
      <c r="AZ32" s="386"/>
    </row>
    <row r="33" spans="2:55">
      <c r="B33" s="222" t="s">
        <v>643</v>
      </c>
      <c r="C33" s="358"/>
      <c r="D33" s="388">
        <v>0.41</v>
      </c>
      <c r="E33" s="630" t="e">
        <f t="shared" si="6"/>
        <v>#REF!</v>
      </c>
      <c r="F33" s="630">
        <f t="shared" si="6"/>
        <v>300434431.70622092</v>
      </c>
      <c r="G33" s="630">
        <f t="shared" si="6"/>
        <v>247065127.15569001</v>
      </c>
      <c r="H33" s="630">
        <f t="shared" si="6"/>
        <v>225822776.63044068</v>
      </c>
      <c r="I33" s="630">
        <f t="shared" si="6"/>
        <v>204433878.89792493</v>
      </c>
      <c r="J33" s="630">
        <f t="shared" si="6"/>
        <v>326817196.01390505</v>
      </c>
      <c r="K33" s="693">
        <f t="shared" si="6"/>
        <v>272692901.55961132</v>
      </c>
      <c r="L33" s="693">
        <f t="shared" si="6"/>
        <v>248341190.84443358</v>
      </c>
      <c r="M33" s="693">
        <f t="shared" si="6"/>
        <v>226623535.60410711</v>
      </c>
      <c r="N33" s="693">
        <f t="shared" si="6"/>
        <v>315886999.79458684</v>
      </c>
      <c r="O33" s="693">
        <f t="shared" si="6"/>
        <v>251795347.30253637</v>
      </c>
      <c r="P33" s="631">
        <f t="shared" si="6"/>
        <v>223569048.93597898</v>
      </c>
      <c r="Q33" s="631">
        <f t="shared" si="6"/>
        <v>198826834.75940144</v>
      </c>
      <c r="R33" s="907">
        <f t="shared" si="6"/>
        <v>317331347.79458684</v>
      </c>
      <c r="S33" s="907">
        <f t="shared" si="6"/>
        <v>254803886.30253637</v>
      </c>
      <c r="T33" s="907">
        <f t="shared" si="7"/>
        <v>226759668.93597898</v>
      </c>
      <c r="U33" s="908">
        <f t="shared" si="7"/>
        <v>204600659.75940144</v>
      </c>
      <c r="AC33" s="354"/>
      <c r="AG33" s="370">
        <v>45.888119682719797</v>
      </c>
      <c r="AI33" s="370">
        <f>AG33*8000</f>
        <v>367104.9574617584</v>
      </c>
      <c r="AQ33" s="46"/>
      <c r="AR33" s="46"/>
      <c r="AS33" s="46"/>
      <c r="AT33" s="389"/>
      <c r="AZ33" s="386"/>
    </row>
    <row r="34" spans="2:55">
      <c r="B34" s="222" t="s">
        <v>644</v>
      </c>
      <c r="C34" s="358"/>
      <c r="D34" s="388">
        <v>0.04</v>
      </c>
      <c r="E34" s="630" t="e">
        <f t="shared" si="6"/>
        <v>#REF!</v>
      </c>
      <c r="F34" s="630">
        <f t="shared" si="6"/>
        <v>29310676.264021553</v>
      </c>
      <c r="G34" s="630">
        <f t="shared" si="6"/>
        <v>24103914.844457563</v>
      </c>
      <c r="H34" s="630">
        <f t="shared" si="6"/>
        <v>22031490.402969822</v>
      </c>
      <c r="I34" s="630">
        <f t="shared" si="6"/>
        <v>19944768.672968287</v>
      </c>
      <c r="J34" s="630">
        <f t="shared" si="6"/>
        <v>31884604.489161473</v>
      </c>
      <c r="K34" s="693">
        <f t="shared" si="6"/>
        <v>26604185.518010858</v>
      </c>
      <c r="L34" s="693">
        <f t="shared" si="6"/>
        <v>24228408.862871572</v>
      </c>
      <c r="M34" s="693">
        <f t="shared" si="6"/>
        <v>22109613.22966899</v>
      </c>
      <c r="N34" s="693">
        <f t="shared" si="6"/>
        <v>30818243.882398717</v>
      </c>
      <c r="O34" s="693">
        <f t="shared" si="6"/>
        <v>24565399.73683282</v>
      </c>
      <c r="P34" s="631">
        <f t="shared" si="6"/>
        <v>21811614.530339412</v>
      </c>
      <c r="Q34" s="631">
        <f t="shared" si="6"/>
        <v>19397739.976526972</v>
      </c>
      <c r="R34" s="907">
        <f t="shared" si="6"/>
        <v>30959155.882398717</v>
      </c>
      <c r="S34" s="907">
        <f t="shared" si="6"/>
        <v>24858915.73683282</v>
      </c>
      <c r="T34" s="907">
        <f t="shared" si="7"/>
        <v>22122894.530339412</v>
      </c>
      <c r="U34" s="908">
        <f t="shared" si="7"/>
        <v>19961039.976526972</v>
      </c>
      <c r="AC34" s="354"/>
      <c r="AZ34" s="386"/>
    </row>
    <row r="35" spans="2:55">
      <c r="B35" s="222" t="s">
        <v>645</v>
      </c>
      <c r="C35" s="358"/>
      <c r="D35" s="388">
        <v>0.22</v>
      </c>
      <c r="E35" s="630" t="e">
        <f t="shared" si="6"/>
        <v>#REF!</v>
      </c>
      <c r="F35" s="630">
        <f t="shared" si="6"/>
        <v>161208719.45211855</v>
      </c>
      <c r="G35" s="630">
        <f t="shared" si="6"/>
        <v>132571531.6445166</v>
      </c>
      <c r="H35" s="630">
        <f t="shared" si="6"/>
        <v>121173197.21633403</v>
      </c>
      <c r="I35" s="630">
        <f t="shared" si="6"/>
        <v>109696227.70132558</v>
      </c>
      <c r="J35" s="630">
        <f t="shared" si="6"/>
        <v>175365324.69038811</v>
      </c>
      <c r="K35" s="693">
        <f t="shared" si="6"/>
        <v>146323020.34905973</v>
      </c>
      <c r="L35" s="693">
        <f t="shared" si="6"/>
        <v>133256248.74579364</v>
      </c>
      <c r="M35" s="693">
        <f t="shared" si="6"/>
        <v>121602872.76317944</v>
      </c>
      <c r="N35" s="693">
        <f t="shared" si="6"/>
        <v>169500341.35319293</v>
      </c>
      <c r="O35" s="693">
        <f t="shared" si="6"/>
        <v>135109698.55258051</v>
      </c>
      <c r="P35" s="631">
        <f t="shared" si="6"/>
        <v>119963879.91686676</v>
      </c>
      <c r="Q35" s="631">
        <f t="shared" si="6"/>
        <v>106687569.87089834</v>
      </c>
      <c r="R35" s="907">
        <f t="shared" si="6"/>
        <v>170275357.35319293</v>
      </c>
      <c r="S35" s="907">
        <f t="shared" si="6"/>
        <v>136724036.55258051</v>
      </c>
      <c r="T35" s="907">
        <f t="shared" si="7"/>
        <v>121675919.91686676</v>
      </c>
      <c r="U35" s="908">
        <f t="shared" si="7"/>
        <v>109785719.87089834</v>
      </c>
      <c r="AC35" s="354"/>
      <c r="AZ35" s="386"/>
    </row>
    <row r="36" spans="2:55">
      <c r="B36" s="222" t="s">
        <v>646</v>
      </c>
      <c r="C36" s="358"/>
      <c r="D36" s="388">
        <v>0.44</v>
      </c>
      <c r="E36" s="630" t="e">
        <f t="shared" si="6"/>
        <v>#REF!</v>
      </c>
      <c r="F36" s="630">
        <f t="shared" si="6"/>
        <v>322417438.90423709</v>
      </c>
      <c r="G36" s="630">
        <f t="shared" si="6"/>
        <v>265143063.2890332</v>
      </c>
      <c r="H36" s="630">
        <f t="shared" si="6"/>
        <v>242346394.43266806</v>
      </c>
      <c r="I36" s="630">
        <f t="shared" si="6"/>
        <v>219392455.40265116</v>
      </c>
      <c r="J36" s="630">
        <f t="shared" si="6"/>
        <v>350730649.38077623</v>
      </c>
      <c r="K36" s="693">
        <f t="shared" si="6"/>
        <v>292646040.69811946</v>
      </c>
      <c r="L36" s="693">
        <f t="shared" si="6"/>
        <v>266512497.49158728</v>
      </c>
      <c r="M36" s="693">
        <f t="shared" si="6"/>
        <v>243205745.52635887</v>
      </c>
      <c r="N36" s="693">
        <f t="shared" si="6"/>
        <v>339000682.70638585</v>
      </c>
      <c r="O36" s="693">
        <f t="shared" si="6"/>
        <v>270219397.10516101</v>
      </c>
      <c r="P36" s="631">
        <f t="shared" si="6"/>
        <v>239927759.83373353</v>
      </c>
      <c r="Q36" s="631">
        <f t="shared" si="6"/>
        <v>213375139.74179667</v>
      </c>
      <c r="R36" s="907">
        <f t="shared" si="6"/>
        <v>340550714.70638585</v>
      </c>
      <c r="S36" s="907">
        <f t="shared" si="6"/>
        <v>273448073.10516101</v>
      </c>
      <c r="T36" s="907">
        <f t="shared" si="7"/>
        <v>243351839.83373353</v>
      </c>
      <c r="U36" s="908">
        <f t="shared" si="7"/>
        <v>219571439.74179667</v>
      </c>
      <c r="AZ36" s="386"/>
    </row>
    <row r="37" spans="2:55">
      <c r="B37" s="362" t="s">
        <v>743</v>
      </c>
      <c r="C37" s="228"/>
      <c r="D37" s="228"/>
      <c r="E37" s="623" t="e">
        <f>E21*$D$15</f>
        <v>#REF!</v>
      </c>
      <c r="F37" s="623">
        <f>F21*$D$15</f>
        <v>328052610.06566292</v>
      </c>
      <c r="G37" s="623">
        <f>G21*$D$15</f>
        <v>269777200.16753572</v>
      </c>
      <c r="H37" s="623">
        <f>H21*$D$15</f>
        <v>246582094.02020839</v>
      </c>
      <c r="I37" s="623">
        <f t="shared" ref="I37:R37" si="8">I21*$D$15</f>
        <v>223226968.95105332</v>
      </c>
      <c r="J37" s="623">
        <f t="shared" si="8"/>
        <v>356860675.24890459</v>
      </c>
      <c r="K37" s="691">
        <f>K21*$D$15</f>
        <v>297760871.13239163</v>
      </c>
      <c r="L37" s="691">
        <f>L21*$D$15</f>
        <v>271170569.16763651</v>
      </c>
      <c r="M37" s="691">
        <f>M21*$D$15</f>
        <v>247456464.74347374</v>
      </c>
      <c r="N37" s="691">
        <f t="shared" si="8"/>
        <v>344925693.70263684</v>
      </c>
      <c r="O37" s="691">
        <f t="shared" ref="O37" si="9">O21*$D$15</f>
        <v>274942257.50315934</v>
      </c>
      <c r="P37" s="624">
        <f t="shared" si="8"/>
        <v>244121186.83208558</v>
      </c>
      <c r="Q37" s="624">
        <f t="shared" si="8"/>
        <v>217104483.40920079</v>
      </c>
      <c r="R37" s="901">
        <f t="shared" si="8"/>
        <v>346502816.96561372</v>
      </c>
      <c r="S37" s="901">
        <f>S21*$D$15</f>
        <v>278227363.89335978</v>
      </c>
      <c r="T37" s="901">
        <f t="shared" ref="T37:U37" si="10">T21*$D$15</f>
        <v>247605112.46864912</v>
      </c>
      <c r="U37" s="902">
        <f t="shared" si="10"/>
        <v>223409081.55580914</v>
      </c>
      <c r="AZ37" s="386"/>
    </row>
    <row r="38" spans="2:55">
      <c r="B38" s="362"/>
      <c r="C38" s="228"/>
      <c r="D38" s="228"/>
      <c r="E38" s="623"/>
      <c r="F38" s="623"/>
      <c r="G38" s="623"/>
      <c r="H38" s="623"/>
      <c r="I38" s="623"/>
      <c r="J38" s="623"/>
      <c r="K38" s="691"/>
      <c r="L38" s="691"/>
      <c r="M38" s="691"/>
      <c r="N38" s="691"/>
      <c r="O38" s="691"/>
      <c r="P38" s="624"/>
      <c r="Q38" s="624"/>
      <c r="R38" s="901"/>
      <c r="S38" s="901"/>
      <c r="T38" s="909"/>
      <c r="U38" s="910"/>
      <c r="AZ38" s="386"/>
    </row>
    <row r="39" spans="2:55" ht="17.25" thickBot="1">
      <c r="B39" s="223" t="s">
        <v>884</v>
      </c>
      <c r="C39" s="228"/>
      <c r="D39" s="228"/>
      <c r="E39" s="623" t="e">
        <f t="shared" ref="E39" si="11">E40+E63</f>
        <v>#REF!</v>
      </c>
      <c r="F39" s="623">
        <f>F40+F63+F69</f>
        <v>1778703031.8088913</v>
      </c>
      <c r="G39" s="623">
        <f t="shared" ref="G39:U39" si="12">G40+G63+G69</f>
        <v>1396672898.5146194</v>
      </c>
      <c r="H39" s="623">
        <f t="shared" si="12"/>
        <v>1194502219.2754257</v>
      </c>
      <c r="I39" s="623">
        <f t="shared" si="12"/>
        <v>1092236143.2280176</v>
      </c>
      <c r="J39" s="623">
        <f t="shared" si="12"/>
        <v>1928604715.6202304</v>
      </c>
      <c r="K39" s="623">
        <f t="shared" si="12"/>
        <v>1527104027.6359067</v>
      </c>
      <c r="L39" s="623">
        <f t="shared" si="12"/>
        <v>1303605331.04919</v>
      </c>
      <c r="M39" s="623">
        <f t="shared" si="12"/>
        <v>1188891823.7833028</v>
      </c>
      <c r="N39" s="623">
        <f t="shared" si="12"/>
        <v>2354005625.4148955</v>
      </c>
      <c r="O39" s="623">
        <f t="shared" si="12"/>
        <v>1850890386.0685465</v>
      </c>
      <c r="P39" s="623">
        <f t="shared" si="12"/>
        <v>1561745629.7709465</v>
      </c>
      <c r="Q39" s="623">
        <f t="shared" si="12"/>
        <v>1409327858.5901973</v>
      </c>
      <c r="R39" s="899">
        <f t="shared" si="12"/>
        <v>2358315399.5947475</v>
      </c>
      <c r="S39" s="899">
        <f t="shared" si="12"/>
        <v>1860830466.6437721</v>
      </c>
      <c r="T39" s="899">
        <f t="shared" si="12"/>
        <v>1572166503.3128808</v>
      </c>
      <c r="U39" s="899">
        <f t="shared" si="12"/>
        <v>1429844962.694603</v>
      </c>
      <c r="BB39" s="387"/>
      <c r="BC39" s="386"/>
    </row>
    <row r="40" spans="2:55">
      <c r="B40" s="344" t="s">
        <v>869</v>
      </c>
      <c r="C40" s="436"/>
      <c r="D40" s="436"/>
      <c r="E40" s="626">
        <f t="shared" ref="E40:N40" si="13">E41+E49</f>
        <v>1557959180.3092442</v>
      </c>
      <c r="F40" s="626">
        <f t="shared" si="13"/>
        <v>1687038268.9761288</v>
      </c>
      <c r="G40" s="626">
        <f t="shared" si="13"/>
        <v>1321291504.4568367</v>
      </c>
      <c r="H40" s="626">
        <f t="shared" si="13"/>
        <v>1125602023.1677217</v>
      </c>
      <c r="I40" s="626">
        <f t="shared" si="13"/>
        <v>1029861857.7050979</v>
      </c>
      <c r="J40" s="626">
        <f t="shared" si="13"/>
        <v>1828890376.647336</v>
      </c>
      <c r="K40" s="692">
        <f t="shared" si="13"/>
        <v>1443903410.4307449</v>
      </c>
      <c r="L40" s="692">
        <f t="shared" si="13"/>
        <v>1227834600.5404425</v>
      </c>
      <c r="M40" s="692">
        <f t="shared" si="13"/>
        <v>1119747310.2017643</v>
      </c>
      <c r="N40" s="692">
        <f t="shared" si="13"/>
        <v>2257626169.9920301</v>
      </c>
      <c r="O40" s="692">
        <f t="shared" ref="O40" si="14">O41+O49</f>
        <v>1774065766.9268579</v>
      </c>
      <c r="P40" s="627">
        <f>P41+P49</f>
        <v>1493533062.6191821</v>
      </c>
      <c r="Q40" s="627">
        <f>Q41+Q49</f>
        <v>1348664323.6235027</v>
      </c>
      <c r="R40" s="903">
        <f>R41+R49</f>
        <v>2261495262.9353271</v>
      </c>
      <c r="S40" s="903">
        <f>S41+S49</f>
        <v>1783087920.0450277</v>
      </c>
      <c r="T40" s="903">
        <f t="shared" ref="T40:U40" si="15">T41+T49</f>
        <v>1502980454.4468918</v>
      </c>
      <c r="U40" s="904">
        <f t="shared" si="15"/>
        <v>1367419791.099719</v>
      </c>
      <c r="AC40" s="720" t="s">
        <v>871</v>
      </c>
      <c r="AD40" s="233"/>
      <c r="AE40" s="233"/>
      <c r="AF40" s="721"/>
      <c r="AG40" s="228" t="s">
        <v>922</v>
      </c>
      <c r="AH40" s="228"/>
      <c r="AI40" s="228"/>
      <c r="AJ40" s="228"/>
      <c r="AK40" s="228"/>
      <c r="AL40" s="228"/>
      <c r="AM40" s="228"/>
      <c r="AN40" s="685"/>
      <c r="AO40" s="685"/>
      <c r="AP40" s="685"/>
      <c r="AQ40" s="685"/>
      <c r="AR40" s="685"/>
      <c r="AS40" s="560"/>
      <c r="AT40" s="560"/>
      <c r="AU40" s="560"/>
      <c r="AV40" s="560"/>
      <c r="BB40" s="387"/>
      <c r="BC40" s="386"/>
    </row>
    <row r="41" spans="2:55">
      <c r="B41" s="344" t="s">
        <v>1103</v>
      </c>
      <c r="C41" s="436"/>
      <c r="D41" s="436"/>
      <c r="E41" s="626">
        <f>SUM(E42:E47)</f>
        <v>317401740.7637167</v>
      </c>
      <c r="F41" s="626">
        <f t="shared" ref="F41:S41" si="16">SUM(F42:F47)</f>
        <v>546702821.76188064</v>
      </c>
      <c r="G41" s="626">
        <f t="shared" si="16"/>
        <v>485711640.62202275</v>
      </c>
      <c r="H41" s="626">
        <f t="shared" si="16"/>
        <v>453989031.6032455</v>
      </c>
      <c r="I41" s="626">
        <f t="shared" si="16"/>
        <v>434401190.39258552</v>
      </c>
      <c r="J41" s="626">
        <f t="shared" si="16"/>
        <v>546702821.76188064</v>
      </c>
      <c r="K41" s="692">
        <f t="shared" si="16"/>
        <v>485711640.62202275</v>
      </c>
      <c r="L41" s="692">
        <f t="shared" si="16"/>
        <v>453989031.6032455</v>
      </c>
      <c r="M41" s="692">
        <f t="shared" si="16"/>
        <v>434401190.39258552</v>
      </c>
      <c r="N41" s="692">
        <f>SUM(N42:N47)</f>
        <v>303066278.36371672</v>
      </c>
      <c r="O41" s="692">
        <f>SUM(O42:O47)</f>
        <v>303066278.36371672</v>
      </c>
      <c r="P41" s="627">
        <f t="shared" si="16"/>
        <v>303066278.36371672</v>
      </c>
      <c r="Q41" s="627">
        <f t="shared" si="16"/>
        <v>303066278.36371672</v>
      </c>
      <c r="R41" s="903">
        <f t="shared" si="16"/>
        <v>303066278.36371672</v>
      </c>
      <c r="S41" s="903">
        <f t="shared" si="16"/>
        <v>303066278.36371672</v>
      </c>
      <c r="T41" s="903">
        <f t="shared" ref="T41:U41" si="17">SUM(T42:T47)</f>
        <v>303066278.36371672</v>
      </c>
      <c r="U41" s="904">
        <f t="shared" si="17"/>
        <v>303066278.36371672</v>
      </c>
      <c r="AC41" s="722"/>
      <c r="AD41" s="319" t="s">
        <v>872</v>
      </c>
      <c r="AE41" s="319" t="s">
        <v>650</v>
      </c>
      <c r="AF41" s="723" t="s">
        <v>663</v>
      </c>
      <c r="AG41" s="319" t="s">
        <v>651</v>
      </c>
      <c r="AH41" s="790" t="s">
        <v>773</v>
      </c>
      <c r="AI41" s="315" t="s">
        <v>1147</v>
      </c>
      <c r="AJ41" s="315" t="s">
        <v>1148</v>
      </c>
      <c r="AK41" s="315" t="s">
        <v>1149</v>
      </c>
      <c r="AL41" s="315" t="s">
        <v>1150</v>
      </c>
      <c r="AM41" s="841" t="s">
        <v>1164</v>
      </c>
      <c r="AN41" s="842" t="s">
        <v>1166</v>
      </c>
      <c r="AO41" s="842" t="s">
        <v>1167</v>
      </c>
      <c r="AP41" s="842" t="s">
        <v>1168</v>
      </c>
      <c r="AQ41" s="843" t="s">
        <v>1172</v>
      </c>
      <c r="AR41" s="843" t="s">
        <v>1174</v>
      </c>
      <c r="AS41" s="844" t="s">
        <v>1176</v>
      </c>
      <c r="AT41" s="844" t="s">
        <v>1178</v>
      </c>
      <c r="AU41" s="845" t="s">
        <v>1180</v>
      </c>
      <c r="AV41" s="845" t="s">
        <v>1182</v>
      </c>
      <c r="AW41" s="845" t="s">
        <v>1184</v>
      </c>
      <c r="AX41" s="845" t="s">
        <v>1186</v>
      </c>
      <c r="BB41" s="387"/>
      <c r="BC41" s="386"/>
    </row>
    <row r="42" spans="2:55">
      <c r="B42" s="222" t="s">
        <v>880</v>
      </c>
      <c r="C42" s="358"/>
      <c r="D42" s="358"/>
      <c r="E42" s="630">
        <f t="shared" ref="E42:O47" si="18">AH43*$AD43*$AF43</f>
        <v>303066278.36371672</v>
      </c>
      <c r="F42" s="630">
        <f t="shared" si="18"/>
        <v>303066278.36371672</v>
      </c>
      <c r="G42" s="630">
        <f t="shared" si="18"/>
        <v>303066278.36371672</v>
      </c>
      <c r="H42" s="630">
        <f t="shared" si="18"/>
        <v>303066278.36371672</v>
      </c>
      <c r="I42" s="630">
        <f t="shared" si="18"/>
        <v>303066278.36371672</v>
      </c>
      <c r="J42" s="630">
        <f t="shared" si="18"/>
        <v>303066278.36371672</v>
      </c>
      <c r="K42" s="693">
        <f t="shared" si="18"/>
        <v>303066278.36371672</v>
      </c>
      <c r="L42" s="693">
        <f t="shared" si="18"/>
        <v>303066278.36371672</v>
      </c>
      <c r="M42" s="693">
        <f t="shared" si="18"/>
        <v>303066278.36371672</v>
      </c>
      <c r="N42" s="693">
        <f t="shared" si="18"/>
        <v>303066278.36371672</v>
      </c>
      <c r="O42" s="693">
        <f t="shared" si="18"/>
        <v>303066278.36371672</v>
      </c>
      <c r="P42" s="631">
        <f t="shared" ref="P42:S48" si="19">AS43*$AD43*$AF43</f>
        <v>303066278.36371672</v>
      </c>
      <c r="Q42" s="631">
        <f t="shared" si="19"/>
        <v>303066278.36371672</v>
      </c>
      <c r="R42" s="907">
        <f t="shared" si="19"/>
        <v>303066278.36371672</v>
      </c>
      <c r="S42" s="907">
        <f t="shared" si="19"/>
        <v>303066278.36371672</v>
      </c>
      <c r="T42" s="907">
        <f t="shared" ref="T42:U48" si="20">AW43*$AD43*$AF43</f>
        <v>303066278.36371672</v>
      </c>
      <c r="U42" s="908">
        <f t="shared" si="20"/>
        <v>303066278.36371672</v>
      </c>
      <c r="AC42" s="724" t="s">
        <v>932</v>
      </c>
      <c r="AD42" s="319"/>
      <c r="AE42" s="319"/>
      <c r="AF42" s="723"/>
      <c r="AG42" s="319"/>
      <c r="AH42" s="790"/>
      <c r="AI42" s="319"/>
      <c r="AJ42" s="319"/>
      <c r="AK42" s="319"/>
      <c r="AL42" s="319"/>
      <c r="AM42" s="319"/>
      <c r="AN42" s="686"/>
      <c r="AO42" s="686"/>
      <c r="AP42" s="686"/>
      <c r="AQ42" s="686"/>
      <c r="AR42" s="686"/>
      <c r="AS42" s="561"/>
      <c r="AT42" s="561"/>
      <c r="AU42" s="561"/>
      <c r="AV42" s="561"/>
      <c r="BB42" s="387"/>
      <c r="BC42" s="386"/>
    </row>
    <row r="43" spans="2:55">
      <c r="B43" s="222" t="s">
        <v>167</v>
      </c>
      <c r="C43" s="358"/>
      <c r="D43" s="796"/>
      <c r="E43" s="630">
        <f t="shared" si="18"/>
        <v>14335462.4</v>
      </c>
      <c r="F43" s="630">
        <f t="shared" si="18"/>
        <v>243636543.39816397</v>
      </c>
      <c r="G43" s="630">
        <f t="shared" si="18"/>
        <v>182645362.258306</v>
      </c>
      <c r="H43" s="630">
        <f t="shared" si="18"/>
        <v>150922753.23952881</v>
      </c>
      <c r="I43" s="630">
        <f t="shared" si="18"/>
        <v>131334912.02886879</v>
      </c>
      <c r="J43" s="630">
        <f t="shared" si="18"/>
        <v>243636543.39816397</v>
      </c>
      <c r="K43" s="693">
        <f t="shared" si="18"/>
        <v>182645362.258306</v>
      </c>
      <c r="L43" s="693">
        <f t="shared" si="18"/>
        <v>150922753.23952881</v>
      </c>
      <c r="M43" s="693">
        <f t="shared" si="18"/>
        <v>131334912.02886879</v>
      </c>
      <c r="N43" s="693">
        <f t="shared" si="18"/>
        <v>0</v>
      </c>
      <c r="O43" s="693">
        <f t="shared" si="18"/>
        <v>0</v>
      </c>
      <c r="P43" s="631">
        <f t="shared" si="19"/>
        <v>0</v>
      </c>
      <c r="Q43" s="631">
        <f t="shared" si="19"/>
        <v>0</v>
      </c>
      <c r="R43" s="907">
        <f t="shared" si="19"/>
        <v>0</v>
      </c>
      <c r="S43" s="907">
        <f t="shared" si="19"/>
        <v>0</v>
      </c>
      <c r="T43" s="907">
        <f t="shared" si="20"/>
        <v>0</v>
      </c>
      <c r="U43" s="908">
        <f t="shared" si="20"/>
        <v>0</v>
      </c>
      <c r="AC43" s="725" t="s">
        <v>880</v>
      </c>
      <c r="AD43">
        <v>3.27</v>
      </c>
      <c r="AE43" s="358" t="s">
        <v>680</v>
      </c>
      <c r="AF43" s="726">
        <v>1</v>
      </c>
      <c r="AG43" s="456" t="s">
        <v>681</v>
      </c>
      <c r="AH43" s="791">
        <f t="shared" ref="AH43:AX43" si="21">327437.649716956/28.263682*8000</f>
        <v>92680819.071473002</v>
      </c>
      <c r="AI43" s="688">
        <f t="shared" si="21"/>
        <v>92680819.071473002</v>
      </c>
      <c r="AJ43" s="688">
        <f t="shared" si="21"/>
        <v>92680819.071473002</v>
      </c>
      <c r="AK43" s="688">
        <f t="shared" si="21"/>
        <v>92680819.071473002</v>
      </c>
      <c r="AL43" s="688">
        <f t="shared" si="21"/>
        <v>92680819.071473002</v>
      </c>
      <c r="AM43" s="688">
        <f t="shared" si="21"/>
        <v>92680819.071473002</v>
      </c>
      <c r="AN43" s="689">
        <f t="shared" si="21"/>
        <v>92680819.071473002</v>
      </c>
      <c r="AO43" s="689">
        <f t="shared" si="21"/>
        <v>92680819.071473002</v>
      </c>
      <c r="AP43" s="689">
        <f t="shared" si="21"/>
        <v>92680819.071473002</v>
      </c>
      <c r="AQ43" s="689">
        <f t="shared" si="21"/>
        <v>92680819.071473002</v>
      </c>
      <c r="AR43" s="689">
        <f t="shared" si="21"/>
        <v>92680819.071473002</v>
      </c>
      <c r="AS43" s="689">
        <f t="shared" si="21"/>
        <v>92680819.071473002</v>
      </c>
      <c r="AT43" s="689">
        <f t="shared" si="21"/>
        <v>92680819.071473002</v>
      </c>
      <c r="AU43" s="689">
        <f t="shared" si="21"/>
        <v>92680819.071473002</v>
      </c>
      <c r="AV43" s="689">
        <f t="shared" si="21"/>
        <v>92680819.071473002</v>
      </c>
      <c r="AW43" s="689">
        <f t="shared" si="21"/>
        <v>92680819.071473002</v>
      </c>
      <c r="AX43" s="689">
        <f t="shared" si="21"/>
        <v>92680819.071473002</v>
      </c>
      <c r="BB43" s="387"/>
      <c r="BC43" s="386"/>
    </row>
    <row r="44" spans="2:55">
      <c r="B44" s="222" t="s">
        <v>168</v>
      </c>
      <c r="C44" s="358"/>
      <c r="D44" s="358"/>
      <c r="E44" s="630">
        <f t="shared" si="18"/>
        <v>0</v>
      </c>
      <c r="F44" s="630">
        <f t="shared" si="18"/>
        <v>0</v>
      </c>
      <c r="G44" s="630">
        <f t="shared" si="18"/>
        <v>0</v>
      </c>
      <c r="H44" s="630">
        <f t="shared" si="18"/>
        <v>0</v>
      </c>
      <c r="I44" s="630">
        <f t="shared" si="18"/>
        <v>0</v>
      </c>
      <c r="J44" s="630">
        <f t="shared" si="18"/>
        <v>0</v>
      </c>
      <c r="K44" s="693">
        <f t="shared" si="18"/>
        <v>0</v>
      </c>
      <c r="L44" s="693">
        <f t="shared" si="18"/>
        <v>0</v>
      </c>
      <c r="M44" s="693">
        <f t="shared" si="18"/>
        <v>0</v>
      </c>
      <c r="N44" s="693">
        <f t="shared" si="18"/>
        <v>0</v>
      </c>
      <c r="O44" s="693">
        <f t="shared" si="18"/>
        <v>0</v>
      </c>
      <c r="P44" s="631">
        <f t="shared" si="19"/>
        <v>0</v>
      </c>
      <c r="Q44" s="631">
        <f t="shared" si="19"/>
        <v>0</v>
      </c>
      <c r="R44" s="907">
        <f t="shared" si="19"/>
        <v>0</v>
      </c>
      <c r="S44" s="907">
        <f t="shared" si="19"/>
        <v>0</v>
      </c>
      <c r="T44" s="907">
        <f t="shared" si="20"/>
        <v>0</v>
      </c>
      <c r="U44" s="908">
        <f t="shared" si="20"/>
        <v>0</v>
      </c>
      <c r="AC44" s="725" t="s">
        <v>167</v>
      </c>
      <c r="AD44" s="865">
        <v>40</v>
      </c>
      <c r="AE44" s="358" t="s">
        <v>666</v>
      </c>
      <c r="AF44" s="726">
        <v>1</v>
      </c>
      <c r="AG44" s="456" t="s">
        <v>671</v>
      </c>
      <c r="AH44" s="791">
        <v>358386.56</v>
      </c>
      <c r="AI44" s="857">
        <v>6090913.5849540997</v>
      </c>
      <c r="AJ44" s="857">
        <v>4566134.0564576499</v>
      </c>
      <c r="AK44" s="857">
        <v>3773068.8309882199</v>
      </c>
      <c r="AL44" s="857">
        <v>3283372.8007217199</v>
      </c>
      <c r="AM44" s="857">
        <v>6090913.5849540997</v>
      </c>
      <c r="AN44" s="857">
        <v>4566134.0564576499</v>
      </c>
      <c r="AO44" s="857">
        <v>3773068.8309882199</v>
      </c>
      <c r="AP44" s="857">
        <v>3283372.8007217199</v>
      </c>
      <c r="AQ44" s="857"/>
      <c r="AR44" s="689"/>
      <c r="AS44" s="690"/>
      <c r="AT44" s="690">
        <v>0</v>
      </c>
      <c r="AU44" s="690"/>
      <c r="AV44" s="690">
        <v>0</v>
      </c>
      <c r="BB44" s="387"/>
      <c r="BC44" s="386"/>
    </row>
    <row r="45" spans="2:55">
      <c r="B45" s="222" t="s">
        <v>132</v>
      </c>
      <c r="C45" s="358"/>
      <c r="D45" s="358"/>
      <c r="E45" s="630">
        <f t="shared" si="18"/>
        <v>0</v>
      </c>
      <c r="F45" s="630">
        <f t="shared" si="18"/>
        <v>0</v>
      </c>
      <c r="G45" s="630">
        <f t="shared" si="18"/>
        <v>0</v>
      </c>
      <c r="H45" s="630">
        <f t="shared" si="18"/>
        <v>0</v>
      </c>
      <c r="I45" s="630">
        <f t="shared" si="18"/>
        <v>0</v>
      </c>
      <c r="J45" s="630">
        <f t="shared" si="18"/>
        <v>0</v>
      </c>
      <c r="K45" s="693">
        <f t="shared" si="18"/>
        <v>0</v>
      </c>
      <c r="L45" s="693">
        <f t="shared" si="18"/>
        <v>0</v>
      </c>
      <c r="M45" s="693">
        <f t="shared" si="18"/>
        <v>0</v>
      </c>
      <c r="N45" s="693">
        <f t="shared" si="18"/>
        <v>0</v>
      </c>
      <c r="O45" s="693">
        <f t="shared" si="18"/>
        <v>0</v>
      </c>
      <c r="P45" s="631">
        <f t="shared" si="19"/>
        <v>0</v>
      </c>
      <c r="Q45" s="631">
        <f t="shared" si="19"/>
        <v>0</v>
      </c>
      <c r="R45" s="907">
        <f t="shared" si="19"/>
        <v>0</v>
      </c>
      <c r="S45" s="907">
        <f t="shared" si="19"/>
        <v>0</v>
      </c>
      <c r="T45" s="907">
        <f t="shared" si="20"/>
        <v>0</v>
      </c>
      <c r="U45" s="908">
        <f t="shared" si="20"/>
        <v>0</v>
      </c>
      <c r="AC45" s="725" t="s">
        <v>930</v>
      </c>
      <c r="AD45" s="865">
        <v>3.5000000000000003E-2</v>
      </c>
      <c r="AE45" s="358" t="s">
        <v>664</v>
      </c>
      <c r="AF45" s="726">
        <v>1</v>
      </c>
      <c r="AG45" s="456" t="s">
        <v>677</v>
      </c>
      <c r="AH45" s="791">
        <v>0</v>
      </c>
      <c r="AI45" s="688">
        <v>0</v>
      </c>
      <c r="AJ45" s="688">
        <v>0</v>
      </c>
      <c r="AK45" s="688">
        <v>0</v>
      </c>
      <c r="AL45" s="688">
        <v>0</v>
      </c>
      <c r="AM45" s="688">
        <v>0</v>
      </c>
      <c r="AN45" s="689"/>
      <c r="AO45" s="689"/>
      <c r="AP45" s="689"/>
      <c r="AQ45" s="689">
        <v>0</v>
      </c>
      <c r="AR45" s="689"/>
      <c r="AS45" s="690">
        <v>0</v>
      </c>
      <c r="AT45" s="690"/>
      <c r="AU45" s="690"/>
      <c r="AV45" s="690"/>
      <c r="BB45" s="387"/>
      <c r="BC45" s="386"/>
    </row>
    <row r="46" spans="2:55">
      <c r="B46" s="222" t="s">
        <v>1049</v>
      </c>
      <c r="C46" s="358"/>
      <c r="D46" s="358"/>
      <c r="E46" s="630">
        <f t="shared" si="18"/>
        <v>0</v>
      </c>
      <c r="F46" s="630">
        <f t="shared" si="18"/>
        <v>0</v>
      </c>
      <c r="G46" s="630">
        <f t="shared" si="18"/>
        <v>0</v>
      </c>
      <c r="H46" s="630">
        <f t="shared" si="18"/>
        <v>0</v>
      </c>
      <c r="I46" s="630">
        <f t="shared" si="18"/>
        <v>0</v>
      </c>
      <c r="J46" s="630">
        <f t="shared" si="18"/>
        <v>0</v>
      </c>
      <c r="K46" s="693">
        <f t="shared" si="18"/>
        <v>0</v>
      </c>
      <c r="L46" s="693">
        <f t="shared" si="18"/>
        <v>0</v>
      </c>
      <c r="M46" s="693">
        <f t="shared" si="18"/>
        <v>0</v>
      </c>
      <c r="N46" s="693">
        <f t="shared" si="18"/>
        <v>0</v>
      </c>
      <c r="O46" s="693">
        <f t="shared" si="18"/>
        <v>0</v>
      </c>
      <c r="P46" s="631">
        <f t="shared" si="19"/>
        <v>0</v>
      </c>
      <c r="Q46" s="631">
        <f t="shared" si="19"/>
        <v>0</v>
      </c>
      <c r="R46" s="907">
        <f t="shared" si="19"/>
        <v>0</v>
      </c>
      <c r="S46" s="907">
        <f t="shared" si="19"/>
        <v>0</v>
      </c>
      <c r="T46" s="907">
        <f t="shared" si="20"/>
        <v>0</v>
      </c>
      <c r="U46" s="908">
        <f t="shared" si="20"/>
        <v>0</v>
      </c>
      <c r="AC46" s="727" t="s">
        <v>1039</v>
      </c>
      <c r="AD46" s="865">
        <v>3.53</v>
      </c>
      <c r="AE46" s="358" t="s">
        <v>664</v>
      </c>
      <c r="AF46" s="726">
        <v>1</v>
      </c>
      <c r="AG46" s="456" t="s">
        <v>677</v>
      </c>
      <c r="AH46" s="791">
        <v>0</v>
      </c>
      <c r="AI46" s="688">
        <v>0</v>
      </c>
      <c r="AJ46" s="688">
        <v>0</v>
      </c>
      <c r="AK46" s="688">
        <v>0</v>
      </c>
      <c r="AL46" s="688">
        <v>0</v>
      </c>
      <c r="AM46" s="688">
        <v>0</v>
      </c>
      <c r="AN46" s="689"/>
      <c r="AO46" s="689"/>
      <c r="AP46" s="689"/>
      <c r="AQ46" s="689">
        <v>0</v>
      </c>
      <c r="AR46" s="689"/>
      <c r="AS46" s="690">
        <v>0</v>
      </c>
      <c r="AT46" s="690"/>
      <c r="AU46" s="690"/>
      <c r="AV46" s="690"/>
      <c r="BB46" s="387"/>
      <c r="BC46" s="386"/>
    </row>
    <row r="47" spans="2:55">
      <c r="B47" s="222" t="s">
        <v>1048</v>
      </c>
      <c r="C47" s="358"/>
      <c r="D47" s="358"/>
      <c r="E47" s="630">
        <f t="shared" si="18"/>
        <v>0</v>
      </c>
      <c r="F47" s="630">
        <f t="shared" si="18"/>
        <v>0</v>
      </c>
      <c r="G47" s="630">
        <f t="shared" si="18"/>
        <v>0</v>
      </c>
      <c r="H47" s="630">
        <f t="shared" si="18"/>
        <v>0</v>
      </c>
      <c r="I47" s="630">
        <f t="shared" si="18"/>
        <v>0</v>
      </c>
      <c r="J47" s="630">
        <f t="shared" si="18"/>
        <v>0</v>
      </c>
      <c r="K47" s="693">
        <f t="shared" si="18"/>
        <v>0</v>
      </c>
      <c r="L47" s="693">
        <f t="shared" si="18"/>
        <v>0</v>
      </c>
      <c r="M47" s="693">
        <f t="shared" si="18"/>
        <v>0</v>
      </c>
      <c r="N47" s="693">
        <f t="shared" si="18"/>
        <v>0</v>
      </c>
      <c r="O47" s="693">
        <f t="shared" si="18"/>
        <v>0</v>
      </c>
      <c r="P47" s="631">
        <f t="shared" si="19"/>
        <v>0</v>
      </c>
      <c r="Q47" s="631">
        <f t="shared" si="19"/>
        <v>0</v>
      </c>
      <c r="R47" s="907">
        <f t="shared" si="19"/>
        <v>0</v>
      </c>
      <c r="S47" s="907">
        <f t="shared" si="19"/>
        <v>0</v>
      </c>
      <c r="T47" s="907">
        <f t="shared" si="20"/>
        <v>0</v>
      </c>
      <c r="U47" s="908">
        <f t="shared" si="20"/>
        <v>0</v>
      </c>
      <c r="AC47" s="727" t="s">
        <v>1045</v>
      </c>
      <c r="AD47" s="865">
        <v>430</v>
      </c>
      <c r="AE47" s="719" t="s">
        <v>666</v>
      </c>
      <c r="AF47" s="726">
        <v>1</v>
      </c>
      <c r="AG47" s="584" t="s">
        <v>671</v>
      </c>
      <c r="AH47" s="791">
        <v>0</v>
      </c>
      <c r="AI47" s="688">
        <v>0</v>
      </c>
      <c r="AJ47" s="688">
        <v>0</v>
      </c>
      <c r="AK47" s="688">
        <v>0</v>
      </c>
      <c r="AL47" s="688">
        <v>0</v>
      </c>
      <c r="AM47" s="688">
        <v>0</v>
      </c>
      <c r="AN47" s="689"/>
      <c r="AO47" s="689"/>
      <c r="AP47" s="689"/>
      <c r="AQ47" s="689">
        <v>0</v>
      </c>
      <c r="AR47" s="689"/>
      <c r="AS47" s="690">
        <v>0</v>
      </c>
      <c r="AT47" s="690"/>
      <c r="AU47" s="690"/>
      <c r="AV47" s="690"/>
      <c r="BB47" s="387"/>
      <c r="BC47" s="386"/>
    </row>
    <row r="48" spans="2:55">
      <c r="B48" s="222" t="s">
        <v>1143</v>
      </c>
      <c r="C48" s="358"/>
      <c r="D48" s="358"/>
      <c r="F48" s="630">
        <f t="shared" ref="F48:O48" si="22">AI49*$AD49*$AF49</f>
        <v>0</v>
      </c>
      <c r="G48" s="630">
        <f t="shared" si="22"/>
        <v>0</v>
      </c>
      <c r="H48" s="630">
        <f t="shared" si="22"/>
        <v>0</v>
      </c>
      <c r="I48" s="630">
        <f t="shared" si="22"/>
        <v>0</v>
      </c>
      <c r="J48" s="630">
        <f t="shared" si="22"/>
        <v>465426.48993348482</v>
      </c>
      <c r="K48" s="630">
        <f t="shared" si="22"/>
        <v>498216.59305743442</v>
      </c>
      <c r="L48" s="630">
        <f t="shared" si="22"/>
        <v>823230.9726300959</v>
      </c>
      <c r="M48" s="630">
        <f t="shared" si="22"/>
        <v>768583.39469043515</v>
      </c>
      <c r="N48" s="630">
        <f t="shared" si="22"/>
        <v>0</v>
      </c>
      <c r="O48" s="630">
        <f t="shared" si="22"/>
        <v>0</v>
      </c>
      <c r="P48" s="630">
        <f t="shared" si="19"/>
        <v>0</v>
      </c>
      <c r="Q48" s="630">
        <f t="shared" si="19"/>
        <v>0</v>
      </c>
      <c r="R48" s="900">
        <f t="shared" si="19"/>
        <v>68505.224728159446</v>
      </c>
      <c r="S48" s="907">
        <f t="shared" si="19"/>
        <v>168683.966744556</v>
      </c>
      <c r="T48" s="907">
        <f t="shared" si="20"/>
        <v>181319.69128630881</v>
      </c>
      <c r="U48" s="908">
        <f t="shared" si="20"/>
        <v>201403.65420641919</v>
      </c>
      <c r="AC48" s="727" t="s">
        <v>1047</v>
      </c>
      <c r="AD48" s="865">
        <v>4.7336999999999998</v>
      </c>
      <c r="AE48" s="719" t="s">
        <v>664</v>
      </c>
      <c r="AF48" s="726">
        <v>1</v>
      </c>
      <c r="AG48" s="584" t="s">
        <v>677</v>
      </c>
      <c r="AH48" s="791">
        <v>0</v>
      </c>
      <c r="AI48" s="688">
        <v>0</v>
      </c>
      <c r="AJ48" s="688">
        <v>0</v>
      </c>
      <c r="AK48" s="688">
        <v>0</v>
      </c>
      <c r="AL48" s="688">
        <v>0</v>
      </c>
      <c r="AM48" s="688">
        <v>0</v>
      </c>
      <c r="AN48" s="689"/>
      <c r="AO48" s="689"/>
      <c r="AP48" s="689"/>
      <c r="AQ48" s="689">
        <v>0</v>
      </c>
      <c r="AR48" s="689"/>
      <c r="AS48" s="690">
        <v>0</v>
      </c>
      <c r="AT48" s="690"/>
      <c r="AU48" s="690"/>
      <c r="AV48" s="690"/>
      <c r="BB48" s="387"/>
      <c r="BC48" s="386"/>
    </row>
    <row r="49" spans="2:55">
      <c r="B49" s="344" t="s">
        <v>649</v>
      </c>
      <c r="C49" s="358"/>
      <c r="D49" s="358"/>
      <c r="E49" s="626">
        <f>SUM(E50:E62)</f>
        <v>1240557439.5455275</v>
      </c>
      <c r="F49" s="626">
        <f t="shared" ref="F49:U49" si="23">SUM(F50:F62)</f>
        <v>1140335447.2142482</v>
      </c>
      <c r="G49" s="626">
        <f t="shared" si="23"/>
        <v>835579863.83481395</v>
      </c>
      <c r="H49" s="626">
        <f t="shared" si="23"/>
        <v>671612991.56447613</v>
      </c>
      <c r="I49" s="626">
        <f t="shared" si="23"/>
        <v>595460667.3125124</v>
      </c>
      <c r="J49" s="626">
        <f t="shared" si="23"/>
        <v>1282187554.8854554</v>
      </c>
      <c r="K49" s="626">
        <f t="shared" si="23"/>
        <v>958191769.80872214</v>
      </c>
      <c r="L49" s="626">
        <f t="shared" si="23"/>
        <v>773845568.93719709</v>
      </c>
      <c r="M49" s="626">
        <f t="shared" si="23"/>
        <v>685346119.80917883</v>
      </c>
      <c r="N49" s="626">
        <f t="shared" si="23"/>
        <v>1954559891.6283133</v>
      </c>
      <c r="O49" s="626">
        <f t="shared" si="23"/>
        <v>1470999488.5631413</v>
      </c>
      <c r="P49" s="626">
        <f t="shared" si="23"/>
        <v>1190466784.2554655</v>
      </c>
      <c r="Q49" s="626">
        <f t="shared" si="23"/>
        <v>1045598045.2597861</v>
      </c>
      <c r="R49" s="911">
        <f t="shared" si="23"/>
        <v>1958428984.5716102</v>
      </c>
      <c r="S49" s="911">
        <f t="shared" si="23"/>
        <v>1480021641.6813111</v>
      </c>
      <c r="T49" s="911">
        <f t="shared" si="23"/>
        <v>1199914176.0831752</v>
      </c>
      <c r="U49" s="912">
        <f t="shared" si="23"/>
        <v>1064353512.7360022</v>
      </c>
      <c r="AC49" s="728" t="s">
        <v>1143</v>
      </c>
      <c r="AD49" s="865">
        <v>1</v>
      </c>
      <c r="AE49" s="719" t="s">
        <v>666</v>
      </c>
      <c r="AF49" s="726">
        <v>1</v>
      </c>
      <c r="AG49" s="456" t="s">
        <v>671</v>
      </c>
      <c r="AI49" s="805">
        <v>0</v>
      </c>
      <c r="AJ49" s="805">
        <v>0</v>
      </c>
      <c r="AK49" s="805">
        <v>0</v>
      </c>
      <c r="AL49" s="805">
        <v>0</v>
      </c>
      <c r="AM49" s="805">
        <f>58178.3112416856*8000/1000</f>
        <v>465426.48993348482</v>
      </c>
      <c r="AN49" s="805">
        <f>62277.0741321793*8000/1000</f>
        <v>498216.59305743442</v>
      </c>
      <c r="AO49" s="805">
        <f>102903.871578762*8000/1000</f>
        <v>823230.9726300959</v>
      </c>
      <c r="AP49" s="805">
        <f>96072.9243363044*8000/1000</f>
        <v>768583.39469043515</v>
      </c>
      <c r="AQ49" s="805">
        <v>0</v>
      </c>
      <c r="AR49" s="805">
        <v>0</v>
      </c>
      <c r="AS49" s="805">
        <v>0</v>
      </c>
      <c r="AT49" s="805">
        <v>0</v>
      </c>
      <c r="AU49" s="805">
        <f>8563.15309101993*8000/1000</f>
        <v>68505.224728159446</v>
      </c>
      <c r="AV49" s="690">
        <f>21085.4958430695*8000/1000</f>
        <v>168683.966744556</v>
      </c>
      <c r="AW49" s="805">
        <f>22664.9614107886*8000/1000</f>
        <v>181319.69128630881</v>
      </c>
      <c r="AX49" s="805">
        <f>25175.4567758024*8000/1000</f>
        <v>201403.65420641919</v>
      </c>
      <c r="BB49" s="387"/>
      <c r="BC49" s="386"/>
    </row>
    <row r="50" spans="2:55">
      <c r="B50" s="222" t="s">
        <v>870</v>
      </c>
      <c r="C50" s="358"/>
      <c r="D50" s="358"/>
      <c r="E50" s="630">
        <f t="shared" ref="E50:O51" si="24">AH51*$AD51*$AF51</f>
        <v>143265609.75522712</v>
      </c>
      <c r="F50" s="630">
        <f t="shared" si="24"/>
        <v>298718021.33935952</v>
      </c>
      <c r="G50" s="630">
        <f t="shared" si="24"/>
        <v>229895443.76482323</v>
      </c>
      <c r="H50" s="630">
        <f t="shared" si="24"/>
        <v>190428399.08983237</v>
      </c>
      <c r="I50" s="630">
        <f t="shared" si="24"/>
        <v>165248923.42258924</v>
      </c>
      <c r="J50" s="630">
        <f t="shared" si="24"/>
        <v>298718021.33935952</v>
      </c>
      <c r="K50" s="693">
        <f t="shared" si="24"/>
        <v>229895443.76482323</v>
      </c>
      <c r="L50" s="693">
        <f t="shared" si="24"/>
        <v>190428399.08983237</v>
      </c>
      <c r="M50" s="693">
        <f t="shared" si="24"/>
        <v>165248923.42258924</v>
      </c>
      <c r="N50" s="693">
        <f t="shared" si="24"/>
        <v>0</v>
      </c>
      <c r="O50" s="693">
        <f t="shared" si="24"/>
        <v>0</v>
      </c>
      <c r="P50" s="631">
        <f t="shared" ref="P50:S51" si="25">AS51*$AD51*$AF51</f>
        <v>0</v>
      </c>
      <c r="Q50" s="631">
        <f t="shared" si="25"/>
        <v>0</v>
      </c>
      <c r="R50" s="907">
        <f t="shared" si="25"/>
        <v>0</v>
      </c>
      <c r="S50" s="907">
        <f t="shared" si="25"/>
        <v>0</v>
      </c>
      <c r="T50" s="907">
        <f t="shared" ref="T50:U52" si="26">AW51*$AD51*$AF51</f>
        <v>0</v>
      </c>
      <c r="U50" s="908">
        <f t="shared" si="26"/>
        <v>0</v>
      </c>
      <c r="AC50" s="724" t="s">
        <v>931</v>
      </c>
      <c r="AD50" s="865"/>
      <c r="AE50" s="358"/>
      <c r="AF50" s="726"/>
      <c r="AG50" s="456"/>
      <c r="AH50" s="791"/>
      <c r="AI50" s="688"/>
      <c r="AJ50" s="688"/>
      <c r="AK50" s="688"/>
      <c r="AL50" s="688"/>
      <c r="AM50" s="688"/>
      <c r="AN50" s="689"/>
      <c r="AO50" s="689"/>
      <c r="AP50" s="689"/>
      <c r="AQ50" s="689"/>
      <c r="AR50" s="689"/>
      <c r="AS50" s="690"/>
      <c r="AT50" s="690"/>
      <c r="AU50" s="690"/>
      <c r="AV50" s="690"/>
      <c r="AX50" s="183"/>
      <c r="BB50" s="387"/>
      <c r="BC50" s="386"/>
    </row>
    <row r="51" spans="2:55">
      <c r="B51" s="222" t="s">
        <v>782</v>
      </c>
      <c r="C51" s="358"/>
      <c r="D51" s="358"/>
      <c r="E51" s="630">
        <f t="shared" si="24"/>
        <v>101884143.59999999</v>
      </c>
      <c r="F51" s="630">
        <f t="shared" si="24"/>
        <v>66468480</v>
      </c>
      <c r="G51" s="630">
        <f t="shared" si="24"/>
        <v>46633464</v>
      </c>
      <c r="H51" s="630">
        <f t="shared" si="24"/>
        <v>14739288</v>
      </c>
      <c r="I51" s="630">
        <f t="shared" si="24"/>
        <v>31166231.999999996</v>
      </c>
      <c r="J51" s="630">
        <f t="shared" si="24"/>
        <v>105233306.39999999</v>
      </c>
      <c r="K51" s="693">
        <f t="shared" si="24"/>
        <v>81591275.999999985</v>
      </c>
      <c r="L51" s="693">
        <f t="shared" si="24"/>
        <v>43386009.599999994</v>
      </c>
      <c r="M51" s="693">
        <f t="shared" si="24"/>
        <v>56754811.199999996</v>
      </c>
      <c r="N51" s="693">
        <f t="shared" si="24"/>
        <v>66468480</v>
      </c>
      <c r="O51" s="693">
        <f t="shared" si="24"/>
        <v>46633464</v>
      </c>
      <c r="P51" s="631">
        <f t="shared" si="25"/>
        <v>14739288</v>
      </c>
      <c r="Q51" s="631">
        <f t="shared" si="25"/>
        <v>31166231.999999996</v>
      </c>
      <c r="R51" s="907">
        <f t="shared" si="25"/>
        <v>67190404.920000002</v>
      </c>
      <c r="S51" s="907">
        <f t="shared" si="25"/>
        <v>48415554.614399999</v>
      </c>
      <c r="T51" s="907">
        <f t="shared" si="26"/>
        <v>16645157.615999997</v>
      </c>
      <c r="U51" s="908">
        <f t="shared" si="26"/>
        <v>34087697.088</v>
      </c>
      <c r="AC51" s="725" t="s">
        <v>870</v>
      </c>
      <c r="AD51" s="865">
        <f>AD43</f>
        <v>3.27</v>
      </c>
      <c r="AE51" s="358" t="s">
        <v>680</v>
      </c>
      <c r="AF51" s="726">
        <f>AF43</f>
        <v>1</v>
      </c>
      <c r="AG51" s="456" t="s">
        <v>681</v>
      </c>
      <c r="AH51" s="791">
        <v>43812113.074992999</v>
      </c>
      <c r="AI51" s="688">
        <f>'4-1. UPC &amp; NCE(Grid)'!AF32</f>
        <v>91351076.862189457</v>
      </c>
      <c r="AJ51" s="688">
        <f>'4-1. UPC &amp; NCE(Grid)'!AG32</f>
        <v>70304417.053462759</v>
      </c>
      <c r="AK51" s="688">
        <f>'4-1. UPC &amp; NCE(Grid)'!AH32</f>
        <v>58234984.431141399</v>
      </c>
      <c r="AL51" s="688">
        <f>'4-1. UPC &amp; NCE(Grid)'!AI32</f>
        <v>50534838.967152677</v>
      </c>
      <c r="AM51" s="688">
        <f>'4-1. UPC &amp; NCE(Grid)'!AJ32</f>
        <v>91351076.862189457</v>
      </c>
      <c r="AN51" s="688">
        <f>'4-1. UPC &amp; NCE(Grid)'!AK32</f>
        <v>70304417.053462759</v>
      </c>
      <c r="AO51" s="688">
        <f>'4-1. UPC &amp; NCE(Grid)'!AL32</f>
        <v>58234984.431141399</v>
      </c>
      <c r="AP51" s="688">
        <f>'4-1. UPC &amp; NCE(Grid)'!AM32</f>
        <v>50534838.967152677</v>
      </c>
      <c r="AQ51" s="688">
        <f>'4-1. UPC &amp; NCE(Grid)'!AN32</f>
        <v>0</v>
      </c>
      <c r="AR51" s="688">
        <f>'4-1. UPC &amp; NCE(Grid)'!AO32</f>
        <v>0</v>
      </c>
      <c r="AS51" s="688">
        <f>'4-1. UPC &amp; NCE(Grid)'!AP32</f>
        <v>0</v>
      </c>
      <c r="AT51" s="688">
        <f>'4-1. UPC &amp; NCE(Grid)'!AQ32</f>
        <v>0</v>
      </c>
      <c r="AU51" s="688">
        <f>'4-1. UPC &amp; NCE(Grid)'!AR32</f>
        <v>0</v>
      </c>
      <c r="AV51" s="688">
        <f>'4-1. UPC &amp; NCE(Grid)'!AS32</f>
        <v>0</v>
      </c>
      <c r="AW51" s="688">
        <f>'4-1. UPC &amp; NCE(Grid)'!AT32</f>
        <v>0</v>
      </c>
      <c r="AX51" s="688">
        <f>'4-1. UPC &amp; NCE(Grid)'!AU32</f>
        <v>0</v>
      </c>
      <c r="BB51" s="387"/>
      <c r="BC51" s="386"/>
    </row>
    <row r="52" spans="2:55">
      <c r="B52" s="222" t="s">
        <v>920</v>
      </c>
      <c r="C52" s="358"/>
      <c r="D52" s="358"/>
      <c r="E52" s="630">
        <f t="shared" ref="E52:E62" si="27">AH53*$AD53*$AF53</f>
        <v>578820085.27200007</v>
      </c>
      <c r="F52" s="630">
        <f t="shared" ref="F52:F62" si="28">AI53*$AD53*$AF53</f>
        <v>0</v>
      </c>
      <c r="G52" s="630">
        <f t="shared" ref="G52:S52" si="29">AJ53*$AD53*$AF53</f>
        <v>0</v>
      </c>
      <c r="H52" s="630">
        <f t="shared" si="29"/>
        <v>0</v>
      </c>
      <c r="I52" s="630">
        <f t="shared" si="29"/>
        <v>0</v>
      </c>
      <c r="J52" s="630">
        <f t="shared" si="29"/>
        <v>0</v>
      </c>
      <c r="K52" s="630">
        <f t="shared" si="29"/>
        <v>0</v>
      </c>
      <c r="L52" s="630">
        <f t="shared" si="29"/>
        <v>0</v>
      </c>
      <c r="M52" s="630">
        <f t="shared" si="29"/>
        <v>0</v>
      </c>
      <c r="N52" s="630">
        <f t="shared" si="29"/>
        <v>0</v>
      </c>
      <c r="O52" s="630">
        <f t="shared" si="29"/>
        <v>0</v>
      </c>
      <c r="P52" s="630">
        <f t="shared" si="29"/>
        <v>0</v>
      </c>
      <c r="Q52" s="630">
        <f t="shared" si="29"/>
        <v>0</v>
      </c>
      <c r="R52" s="900">
        <f t="shared" si="29"/>
        <v>0</v>
      </c>
      <c r="S52" s="900">
        <f t="shared" si="29"/>
        <v>0</v>
      </c>
      <c r="T52" s="900">
        <f t="shared" si="26"/>
        <v>0</v>
      </c>
      <c r="U52" s="913">
        <f t="shared" si="26"/>
        <v>0</v>
      </c>
      <c r="AC52" s="725" t="s">
        <v>782</v>
      </c>
      <c r="AD52" s="865">
        <v>0.03</v>
      </c>
      <c r="AE52" s="358" t="s">
        <v>666</v>
      </c>
      <c r="AF52" s="726">
        <v>1</v>
      </c>
      <c r="AG52" s="456" t="s">
        <v>671</v>
      </c>
      <c r="AH52" s="791">
        <v>3396138120</v>
      </c>
      <c r="AI52" s="688">
        <f>'4-1. UPC &amp; NCE(Grid)'!AF33</f>
        <v>2215616000</v>
      </c>
      <c r="AJ52" s="688">
        <f>'4-1. UPC &amp; NCE(Grid)'!AG33</f>
        <v>1554448800</v>
      </c>
      <c r="AK52" s="688">
        <f>'4-1. UPC &amp; NCE(Grid)'!AH33</f>
        <v>491309600</v>
      </c>
      <c r="AL52" s="688">
        <f>'4-1. UPC &amp; NCE(Grid)'!AI33</f>
        <v>1038874399.9999999</v>
      </c>
      <c r="AM52" s="688">
        <f>'4-1. UPC &amp; NCE(Grid)'!AJ33</f>
        <v>3507776880</v>
      </c>
      <c r="AN52" s="688">
        <f>'4-1. UPC &amp; NCE(Grid)'!AK33</f>
        <v>2719709199.9999995</v>
      </c>
      <c r="AO52" s="688">
        <f>'4-1. UPC &amp; NCE(Grid)'!AL33</f>
        <v>1446200319.9999998</v>
      </c>
      <c r="AP52" s="688">
        <f>'4-1. UPC &amp; NCE(Grid)'!AM33</f>
        <v>1891827040</v>
      </c>
      <c r="AQ52" s="688">
        <f>'4-1. UPC &amp; NCE(Grid)'!AN33</f>
        <v>2215616000</v>
      </c>
      <c r="AR52" s="688">
        <f>'4-1. UPC &amp; NCE(Grid)'!AO33</f>
        <v>1554448800</v>
      </c>
      <c r="AS52" s="688">
        <f>'4-1. UPC &amp; NCE(Grid)'!AP33</f>
        <v>491309600</v>
      </c>
      <c r="AT52" s="688">
        <f>'4-1. UPC &amp; NCE(Grid)'!AQ33</f>
        <v>1038874399.9999999</v>
      </c>
      <c r="AU52" s="688">
        <f>'4-1. UPC &amp; NCE(Grid)'!AR33</f>
        <v>2239680164</v>
      </c>
      <c r="AV52" s="688">
        <f>'4-1. UPC &amp; NCE(Grid)'!AS33</f>
        <v>1613851820.48</v>
      </c>
      <c r="AW52" s="688">
        <f>'4-1. UPC &amp; NCE(Grid)'!AT33</f>
        <v>554838587.19999993</v>
      </c>
      <c r="AX52" s="688">
        <f>'4-1. UPC &amp; NCE(Grid)'!AU33</f>
        <v>1136256569.5999999</v>
      </c>
      <c r="AY52" s="391"/>
      <c r="BB52" s="387"/>
      <c r="BC52" s="386"/>
    </row>
    <row r="53" spans="2:55">
      <c r="B53" s="222" t="s">
        <v>921</v>
      </c>
      <c r="C53" s="358"/>
      <c r="D53" s="358"/>
      <c r="E53" s="630">
        <f t="shared" si="27"/>
        <v>0</v>
      </c>
      <c r="F53" s="630">
        <f t="shared" si="28"/>
        <v>488878992</v>
      </c>
      <c r="G53" s="630">
        <f t="shared" ref="G53:T53" si="30">AJ54*$AD54*$AF54</f>
        <v>355611816</v>
      </c>
      <c r="H53" s="630">
        <f t="shared" si="30"/>
        <v>257636736</v>
      </c>
      <c r="I53" s="630">
        <f t="shared" si="30"/>
        <v>195007680</v>
      </c>
      <c r="J53" s="630">
        <f t="shared" si="30"/>
        <v>519100514.352</v>
      </c>
      <c r="K53" s="630">
        <f t="shared" si="30"/>
        <v>382799790.07200003</v>
      </c>
      <c r="L53" s="630">
        <f t="shared" si="30"/>
        <v>280804780.36800009</v>
      </c>
      <c r="M53" s="630">
        <f t="shared" si="30"/>
        <v>216401011.34400001</v>
      </c>
      <c r="N53" s="630">
        <f t="shared" si="30"/>
        <v>1601821457.7534246</v>
      </c>
      <c r="O53" s="630">
        <f t="shared" si="30"/>
        <v>1220926884.4931507</v>
      </c>
      <c r="P53" s="630">
        <f t="shared" si="30"/>
        <v>966918927.78082192</v>
      </c>
      <c r="Q53" s="630">
        <f t="shared" si="30"/>
        <v>810393981.36986303</v>
      </c>
      <c r="R53" s="900">
        <f t="shared" si="30"/>
        <v>1602717213.7127049</v>
      </c>
      <c r="S53" s="900">
        <f t="shared" si="30"/>
        <v>1223118163.7483506</v>
      </c>
      <c r="T53" s="900">
        <f t="shared" si="30"/>
        <v>969274352.83042181</v>
      </c>
      <c r="U53" s="913">
        <f>AX54*$AD54*$AF54</f>
        <v>814113529.64426291</v>
      </c>
      <c r="AC53" s="725" t="s">
        <v>920</v>
      </c>
      <c r="AD53" s="865">
        <v>6.9000000000000006E-2</v>
      </c>
      <c r="AE53" s="358" t="s">
        <v>665</v>
      </c>
      <c r="AF53" s="726">
        <v>1</v>
      </c>
      <c r="AG53" s="456" t="s">
        <v>657</v>
      </c>
      <c r="AH53" s="791">
        <v>8388696888</v>
      </c>
      <c r="AI53" s="688">
        <v>0</v>
      </c>
      <c r="AJ53" s="688">
        <v>0</v>
      </c>
      <c r="AK53" s="688">
        <v>0</v>
      </c>
      <c r="AL53" s="688">
        <v>0</v>
      </c>
      <c r="AM53" s="688">
        <v>0</v>
      </c>
      <c r="AN53" s="688">
        <v>0</v>
      </c>
      <c r="AO53" s="688">
        <v>0</v>
      </c>
      <c r="AP53" s="688">
        <v>0</v>
      </c>
      <c r="AQ53" s="688">
        <v>0</v>
      </c>
      <c r="AR53" s="688">
        <v>0</v>
      </c>
      <c r="AS53" s="688">
        <v>0</v>
      </c>
      <c r="AT53" s="688">
        <v>0</v>
      </c>
      <c r="AU53" s="688">
        <v>0</v>
      </c>
      <c r="AV53" s="688">
        <v>0</v>
      </c>
      <c r="AW53" s="688">
        <v>0</v>
      </c>
      <c r="AX53" s="688">
        <v>0</v>
      </c>
      <c r="AY53" s="391"/>
      <c r="BB53" s="387"/>
      <c r="BC53" s="386"/>
    </row>
    <row r="54" spans="2:55">
      <c r="B54" s="222" t="s">
        <v>1068</v>
      </c>
      <c r="C54" s="358"/>
      <c r="D54" s="358"/>
      <c r="E54" s="630">
        <f t="shared" si="27"/>
        <v>0</v>
      </c>
      <c r="F54" s="630">
        <f t="shared" si="28"/>
        <v>0</v>
      </c>
      <c r="G54" s="630">
        <f t="shared" ref="G54:G62" si="31">AJ55*$AD55*$AF55</f>
        <v>0</v>
      </c>
      <c r="H54" s="630">
        <f t="shared" ref="H54:H62" si="32">AK55*$AD55*$AF55</f>
        <v>0</v>
      </c>
      <c r="I54" s="630">
        <f t="shared" ref="I54:I62" si="33">AL55*$AD55*$AF55</f>
        <v>0</v>
      </c>
      <c r="J54" s="630">
        <f t="shared" ref="J54:J62" si="34">AM55*$AD55*$AF55</f>
        <v>0</v>
      </c>
      <c r="K54" s="693">
        <f t="shared" ref="K54:K62" si="35">AN55*$AD55*$AF55</f>
        <v>0</v>
      </c>
      <c r="L54" s="693">
        <f t="shared" ref="L54:L62" si="36">AO55*$AD55*$AF55</f>
        <v>0</v>
      </c>
      <c r="M54" s="693">
        <f t="shared" ref="M54:M62" si="37">AP55*$AD55*$AF55</f>
        <v>0</v>
      </c>
      <c r="N54" s="693">
        <f t="shared" ref="N54:O62" si="38">AQ55*$AD55*$AF55</f>
        <v>0</v>
      </c>
      <c r="O54" s="693">
        <f t="shared" si="38"/>
        <v>0</v>
      </c>
      <c r="P54" s="631">
        <f>AS55*$AD55*$AF55</f>
        <v>0</v>
      </c>
      <c r="Q54" s="631">
        <f>AT55*$AD55*$AF55</f>
        <v>0</v>
      </c>
      <c r="R54" s="907">
        <f>AU55*$AD55*$AF55</f>
        <v>0</v>
      </c>
      <c r="S54" s="907">
        <f>AV55*$AD55*$AF55</f>
        <v>0</v>
      </c>
      <c r="T54" s="907">
        <f t="shared" ref="T54:U55" si="39">AW55*$AD55*$AF55</f>
        <v>0</v>
      </c>
      <c r="U54" s="908">
        <f t="shared" si="39"/>
        <v>0</v>
      </c>
      <c r="AC54" s="725" t="s">
        <v>921</v>
      </c>
      <c r="AD54" s="892">
        <v>6.3E-2</v>
      </c>
      <c r="AE54" s="358" t="s">
        <v>665</v>
      </c>
      <c r="AF54" s="726">
        <v>1</v>
      </c>
      <c r="AG54" s="456" t="s">
        <v>657</v>
      </c>
      <c r="AH54" s="791">
        <v>0</v>
      </c>
      <c r="AI54" s="688">
        <f>'4-1. UPC &amp; NCE(Grid)'!AF34</f>
        <v>7759984000</v>
      </c>
      <c r="AJ54" s="688">
        <f>'4-1. UPC &amp; NCE(Grid)'!AG34</f>
        <v>5644632000</v>
      </c>
      <c r="AK54" s="688">
        <f>'4-1. UPC &amp; NCE(Grid)'!AH34</f>
        <v>4089472000</v>
      </c>
      <c r="AL54" s="688">
        <f>'4-1. UPC &amp; NCE(Grid)'!AI34</f>
        <v>3095360000</v>
      </c>
      <c r="AM54" s="688">
        <f>'4-1. UPC &amp; NCE(Grid)'!AJ34</f>
        <v>8239690704</v>
      </c>
      <c r="AN54" s="688">
        <f>'4-1. UPC &amp; NCE(Grid)'!AK34</f>
        <v>6076187144</v>
      </c>
      <c r="AO54" s="688">
        <f>'4-1. UPC &amp; NCE(Grid)'!AL34</f>
        <v>4457218736.000001</v>
      </c>
      <c r="AP54" s="688">
        <f>'4-1. UPC &amp; NCE(Grid)'!AM34</f>
        <v>3434936688</v>
      </c>
      <c r="AQ54" s="688">
        <f>'4-1. UPC &amp; NCE(Grid)'!AN34</f>
        <v>25425737424.657536</v>
      </c>
      <c r="AR54" s="688">
        <f>'4-1. UPC &amp; NCE(Grid)'!AO34</f>
        <v>19379791817.351597</v>
      </c>
      <c r="AS54" s="688">
        <f>'4-1. UPC &amp; NCE(Grid)'!AP34</f>
        <v>15347919488.584475</v>
      </c>
      <c r="AT54" s="688">
        <f>'4-1. UPC &amp; NCE(Grid)'!AQ34</f>
        <v>12863396529.680365</v>
      </c>
      <c r="AU54" s="688">
        <f>'4-1. UPC &amp; NCE(Grid)'!AR34</f>
        <v>25439955773.217537</v>
      </c>
      <c r="AV54" s="688">
        <f>'4-1. UPC &amp; NCE(Grid)'!AS34</f>
        <v>19414574027.751598</v>
      </c>
      <c r="AW54" s="688">
        <f>'4-1. UPC &amp; NCE(Grid)'!AT34</f>
        <v>15385307187.784473</v>
      </c>
      <c r="AX54" s="688">
        <f>'4-1. UPC &amp; NCE(Grid)'!AU34</f>
        <v>12922436978.480364</v>
      </c>
      <c r="AY54" s="391"/>
      <c r="BB54" s="387"/>
      <c r="BC54" s="386"/>
    </row>
    <row r="55" spans="2:55">
      <c r="B55" s="222" t="s">
        <v>924</v>
      </c>
      <c r="C55" s="358"/>
      <c r="D55" s="358"/>
      <c r="E55" s="630">
        <f t="shared" si="27"/>
        <v>0</v>
      </c>
      <c r="F55" s="630">
        <f t="shared" si="28"/>
        <v>0</v>
      </c>
      <c r="G55" s="630">
        <f t="shared" si="31"/>
        <v>0</v>
      </c>
      <c r="H55" s="630">
        <f t="shared" si="32"/>
        <v>0</v>
      </c>
      <c r="I55" s="630">
        <f t="shared" si="33"/>
        <v>0</v>
      </c>
      <c r="J55" s="630">
        <f t="shared" si="34"/>
        <v>0</v>
      </c>
      <c r="K55" s="693">
        <f t="shared" si="35"/>
        <v>0</v>
      </c>
      <c r="L55" s="693">
        <f t="shared" si="36"/>
        <v>0</v>
      </c>
      <c r="M55" s="693">
        <f t="shared" si="37"/>
        <v>0</v>
      </c>
      <c r="N55" s="693">
        <f t="shared" si="38"/>
        <v>0</v>
      </c>
      <c r="O55" s="693">
        <f t="shared" ref="O55" si="40">AR56*$AD56*$AF56</f>
        <v>0</v>
      </c>
      <c r="P55" s="693">
        <f t="shared" ref="P55" si="41">AS56*$AD56*$AF56</f>
        <v>0</v>
      </c>
      <c r="Q55" s="693">
        <f t="shared" ref="Q55" si="42">AT56*$AD56*$AF56</f>
        <v>0</v>
      </c>
      <c r="R55" s="914">
        <f t="shared" ref="R55" si="43">AU56*$AD56*$AF56</f>
        <v>0</v>
      </c>
      <c r="S55" s="914">
        <f t="shared" ref="S55" si="44">AV56*$AD56*$AF56</f>
        <v>0</v>
      </c>
      <c r="T55" s="914">
        <f t="shared" si="39"/>
        <v>0</v>
      </c>
      <c r="U55" s="915">
        <f t="shared" si="39"/>
        <v>0</v>
      </c>
      <c r="AC55" s="728" t="s">
        <v>1068</v>
      </c>
      <c r="AD55" s="865">
        <v>0.05</v>
      </c>
      <c r="AE55" s="358" t="s">
        <v>665</v>
      </c>
      <c r="AF55" s="726">
        <v>1</v>
      </c>
      <c r="AG55" s="456" t="s">
        <v>657</v>
      </c>
      <c r="AH55" s="791"/>
      <c r="AI55" s="688">
        <f>'4-1. UPC &amp; NCE(Grid)'!AF36</f>
        <v>0</v>
      </c>
      <c r="AJ55" s="688">
        <f>'4-1. UPC &amp; NCE(Grid)'!AG36</f>
        <v>0</v>
      </c>
      <c r="AK55" s="688">
        <f>'4-1. UPC &amp; NCE(Grid)'!AH36</f>
        <v>0</v>
      </c>
      <c r="AL55" s="688">
        <f>'4-1. UPC &amp; NCE(Grid)'!AI36</f>
        <v>0</v>
      </c>
      <c r="AM55" s="688">
        <f>'4-1. UPC &amp; NCE(Grid)'!AJ36</f>
        <v>0</v>
      </c>
      <c r="AN55" s="688">
        <f>'4-1. UPC &amp; NCE(Grid)'!AK36</f>
        <v>0</v>
      </c>
      <c r="AO55" s="688">
        <f>'4-1. UPC &amp; NCE(Grid)'!AL36</f>
        <v>0</v>
      </c>
      <c r="AP55" s="688">
        <f>'4-1. UPC &amp; NCE(Grid)'!AM36</f>
        <v>0</v>
      </c>
      <c r="AQ55" s="688">
        <f>'4-1. UPC &amp; NCE(Grid)'!AN36</f>
        <v>0</v>
      </c>
      <c r="AR55" s="688">
        <f>'4-1. UPC &amp; NCE(Grid)'!AO36</f>
        <v>0</v>
      </c>
      <c r="AS55" s="688">
        <f>'4-1. UPC &amp; NCE(Grid)'!AP36</f>
        <v>0</v>
      </c>
      <c r="AT55" s="688">
        <f>'4-1. UPC &amp; NCE(Grid)'!AQ36</f>
        <v>0</v>
      </c>
      <c r="AU55" s="688">
        <f>'4-1. UPC &amp; NCE(Grid)'!AR36</f>
        <v>0</v>
      </c>
      <c r="AV55" s="688">
        <f>'4-1. UPC &amp; NCE(Grid)'!AS36</f>
        <v>0</v>
      </c>
      <c r="AW55" s="688">
        <f>'4-1. UPC &amp; NCE(Grid)'!AT36</f>
        <v>0</v>
      </c>
      <c r="AX55" s="688">
        <f>'4-1. UPC &amp; NCE(Grid)'!AU36</f>
        <v>0</v>
      </c>
      <c r="AY55" s="391"/>
      <c r="BB55" s="387"/>
      <c r="BC55" s="386"/>
    </row>
    <row r="56" spans="2:55">
      <c r="B56" s="222" t="s">
        <v>186</v>
      </c>
      <c r="C56" s="358"/>
      <c r="D56" s="358"/>
      <c r="E56" s="630">
        <f t="shared" si="27"/>
        <v>572343.22860000003</v>
      </c>
      <c r="F56" s="630">
        <f t="shared" si="28"/>
        <v>0</v>
      </c>
      <c r="G56" s="630">
        <f t="shared" si="31"/>
        <v>0</v>
      </c>
      <c r="H56" s="630">
        <f t="shared" si="32"/>
        <v>0</v>
      </c>
      <c r="I56" s="630">
        <f t="shared" si="33"/>
        <v>0</v>
      </c>
      <c r="J56" s="630">
        <f t="shared" si="34"/>
        <v>0</v>
      </c>
      <c r="K56" s="693">
        <f t="shared" si="35"/>
        <v>0</v>
      </c>
      <c r="L56" s="693">
        <f t="shared" si="36"/>
        <v>0</v>
      </c>
      <c r="M56" s="693">
        <f t="shared" si="37"/>
        <v>0</v>
      </c>
      <c r="N56" s="693">
        <f t="shared" si="38"/>
        <v>0</v>
      </c>
      <c r="O56" s="693">
        <f t="shared" si="38"/>
        <v>0</v>
      </c>
      <c r="P56" s="631">
        <f t="shared" ref="P56:S62" si="45">AS57*$AD57*$AF57</f>
        <v>0</v>
      </c>
      <c r="Q56" s="631">
        <f t="shared" si="45"/>
        <v>0</v>
      </c>
      <c r="R56" s="907">
        <f t="shared" si="45"/>
        <v>0</v>
      </c>
      <c r="S56" s="907">
        <f t="shared" si="45"/>
        <v>0</v>
      </c>
      <c r="T56" s="907">
        <f t="shared" ref="T56:U62" si="46">AW57*$AD57*$AF57</f>
        <v>0</v>
      </c>
      <c r="U56" s="908">
        <f t="shared" si="46"/>
        <v>0</v>
      </c>
      <c r="AC56" s="725" t="s">
        <v>924</v>
      </c>
      <c r="AD56" s="865">
        <v>0.03</v>
      </c>
      <c r="AE56" s="358" t="s">
        <v>665</v>
      </c>
      <c r="AF56" s="726">
        <v>1</v>
      </c>
      <c r="AG56" s="456" t="s">
        <v>657</v>
      </c>
      <c r="AH56" s="791">
        <v>0</v>
      </c>
      <c r="AI56" s="688">
        <f>'4-1. UPC &amp; NCE(Grid)'!AF37</f>
        <v>0</v>
      </c>
      <c r="AJ56" s="688">
        <f>'4-1. UPC &amp; NCE(Grid)'!AG37</f>
        <v>0</v>
      </c>
      <c r="AK56" s="688">
        <f>'4-1. UPC &amp; NCE(Grid)'!AH37</f>
        <v>0</v>
      </c>
      <c r="AL56" s="688">
        <f>'4-1. UPC &amp; NCE(Grid)'!AI37</f>
        <v>0</v>
      </c>
      <c r="AM56" s="688">
        <f>'4-1. UPC &amp; NCE(Grid)'!AJ37</f>
        <v>0</v>
      </c>
      <c r="AN56" s="688">
        <f>'4-1. UPC &amp; NCE(Grid)'!AK37</f>
        <v>0</v>
      </c>
      <c r="AO56" s="688">
        <f>'4-1. UPC &amp; NCE(Grid)'!AL37</f>
        <v>0</v>
      </c>
      <c r="AP56" s="688">
        <f>'4-1. UPC &amp; NCE(Grid)'!AM37</f>
        <v>0</v>
      </c>
      <c r="AQ56" s="688">
        <f>'4-1. UPC &amp; NCE(Grid)'!AN37</f>
        <v>0</v>
      </c>
      <c r="AR56" s="688">
        <f>'4-1. UPC &amp; NCE(Grid)'!AO37</f>
        <v>0</v>
      </c>
      <c r="AS56" s="688">
        <f>'4-1. UPC &amp; NCE(Grid)'!AP37</f>
        <v>0</v>
      </c>
      <c r="AT56" s="688">
        <f>'4-1. UPC &amp; NCE(Grid)'!AQ37</f>
        <v>0</v>
      </c>
      <c r="AU56" s="688">
        <f>'4-1. UPC &amp; NCE(Grid)'!AR37</f>
        <v>0</v>
      </c>
      <c r="AV56" s="688">
        <f>'4-1. UPC &amp; NCE(Grid)'!AS37</f>
        <v>0</v>
      </c>
      <c r="AW56" s="688">
        <f>'4-1. UPC &amp; NCE(Grid)'!AT37</f>
        <v>0</v>
      </c>
      <c r="AX56" s="688">
        <f>'4-1. UPC &amp; NCE(Grid)'!AU37</f>
        <v>0</v>
      </c>
      <c r="AY56" s="511"/>
      <c r="BB56" s="387"/>
      <c r="BC56" s="386"/>
    </row>
    <row r="57" spans="2:55">
      <c r="B57" s="222" t="s">
        <v>188</v>
      </c>
      <c r="C57" s="358"/>
      <c r="D57" s="358"/>
      <c r="E57" s="630">
        <f t="shared" si="27"/>
        <v>12053565.09</v>
      </c>
      <c r="F57" s="630">
        <f t="shared" si="28"/>
        <v>0</v>
      </c>
      <c r="G57" s="630">
        <f t="shared" si="31"/>
        <v>0</v>
      </c>
      <c r="H57" s="630">
        <f t="shared" si="32"/>
        <v>0</v>
      </c>
      <c r="I57" s="630">
        <f t="shared" si="33"/>
        <v>0</v>
      </c>
      <c r="J57" s="630">
        <f t="shared" si="34"/>
        <v>72396651.163334683</v>
      </c>
      <c r="K57" s="693">
        <f t="shared" si="35"/>
        <v>59716925.637246788</v>
      </c>
      <c r="L57" s="693">
        <f t="shared" si="36"/>
        <v>48706782.056897365</v>
      </c>
      <c r="M57" s="693">
        <f t="shared" si="37"/>
        <v>41052302.337846056</v>
      </c>
      <c r="N57" s="693">
        <f t="shared" si="38"/>
        <v>0</v>
      </c>
      <c r="O57" s="693">
        <f t="shared" si="38"/>
        <v>0</v>
      </c>
      <c r="P57" s="631">
        <f t="shared" si="45"/>
        <v>0</v>
      </c>
      <c r="Q57" s="631">
        <f t="shared" si="45"/>
        <v>0</v>
      </c>
      <c r="R57" s="907">
        <f t="shared" si="45"/>
        <v>2051005.5833528447</v>
      </c>
      <c r="S57" s="907">
        <f t="shared" si="45"/>
        <v>4587900.6487157224</v>
      </c>
      <c r="T57" s="907">
        <f t="shared" si="46"/>
        <v>4671981.7230694611</v>
      </c>
      <c r="U57" s="908">
        <f t="shared" si="46"/>
        <v>11575949.123280445</v>
      </c>
      <c r="AC57" s="725" t="s">
        <v>186</v>
      </c>
      <c r="AD57" s="865">
        <f>14.5</f>
        <v>14.5</v>
      </c>
      <c r="AE57" s="358" t="s">
        <v>666</v>
      </c>
      <c r="AF57" s="726">
        <v>1</v>
      </c>
      <c r="AG57" s="456" t="s">
        <v>671</v>
      </c>
      <c r="AH57" s="791">
        <v>39471.946800000005</v>
      </c>
      <c r="AI57" s="688">
        <f>'4-1. UPC &amp; NCE(Grid)'!AF38</f>
        <v>0</v>
      </c>
      <c r="AJ57" s="688">
        <f>'4-1. UPC &amp; NCE(Grid)'!AG38</f>
        <v>0</v>
      </c>
      <c r="AK57" s="688">
        <f>'4-1. UPC &amp; NCE(Grid)'!AH38</f>
        <v>0</v>
      </c>
      <c r="AL57" s="688">
        <f>'4-1. UPC &amp; NCE(Grid)'!AI38</f>
        <v>0</v>
      </c>
      <c r="AM57" s="688">
        <f>'4-1. UPC &amp; NCE(Grid)'!AJ38</f>
        <v>0</v>
      </c>
      <c r="AN57" s="688">
        <f>'4-1. UPC &amp; NCE(Grid)'!AK38</f>
        <v>0</v>
      </c>
      <c r="AO57" s="688">
        <f>'4-1. UPC &amp; NCE(Grid)'!AL38</f>
        <v>0</v>
      </c>
      <c r="AP57" s="688">
        <f>'4-1. UPC &amp; NCE(Grid)'!AM38</f>
        <v>0</v>
      </c>
      <c r="AQ57" s="688">
        <f>'4-1. UPC &amp; NCE(Grid)'!AN38</f>
        <v>0</v>
      </c>
      <c r="AR57" s="688">
        <f>'4-1. UPC &amp; NCE(Grid)'!AO38</f>
        <v>0</v>
      </c>
      <c r="AS57" s="688">
        <f>'4-1. UPC &amp; NCE(Grid)'!AP38</f>
        <v>0</v>
      </c>
      <c r="AT57" s="688">
        <f>'4-1. UPC &amp; NCE(Grid)'!AQ38</f>
        <v>0</v>
      </c>
      <c r="AU57" s="688">
        <f>'4-1. UPC &amp; NCE(Grid)'!AR38</f>
        <v>0</v>
      </c>
      <c r="AV57" s="688">
        <f>'4-1. UPC &amp; NCE(Grid)'!AS38</f>
        <v>0</v>
      </c>
      <c r="AW57" s="688">
        <f>'4-1. UPC &amp; NCE(Grid)'!AT38</f>
        <v>0</v>
      </c>
      <c r="AX57" s="688">
        <f>'4-1. UPC &amp; NCE(Grid)'!AU38</f>
        <v>0</v>
      </c>
      <c r="BB57" s="387"/>
      <c r="BC57" s="386"/>
    </row>
    <row r="58" spans="2:55">
      <c r="B58" s="222" t="s">
        <v>596</v>
      </c>
      <c r="C58" s="358"/>
      <c r="D58" s="358"/>
      <c r="E58" s="630">
        <f t="shared" si="27"/>
        <v>403961180.76499999</v>
      </c>
      <c r="F58" s="630">
        <f t="shared" si="28"/>
        <v>286269540</v>
      </c>
      <c r="G58" s="630">
        <f t="shared" si="31"/>
        <v>203438742</v>
      </c>
      <c r="H58" s="630">
        <f t="shared" si="32"/>
        <v>208808160</v>
      </c>
      <c r="I58" s="630">
        <f t="shared" si="33"/>
        <v>204037403.484</v>
      </c>
      <c r="J58" s="630">
        <f t="shared" si="34"/>
        <v>286269540</v>
      </c>
      <c r="K58" s="693">
        <f t="shared" si="35"/>
        <v>203438742</v>
      </c>
      <c r="L58" s="693">
        <f t="shared" si="36"/>
        <v>208808160</v>
      </c>
      <c r="M58" s="693">
        <f t="shared" si="37"/>
        <v>204037403.484</v>
      </c>
      <c r="N58" s="693">
        <f t="shared" si="38"/>
        <v>286269540</v>
      </c>
      <c r="O58" s="693">
        <f t="shared" si="38"/>
        <v>203438742</v>
      </c>
      <c r="P58" s="631">
        <f t="shared" si="45"/>
        <v>208808160</v>
      </c>
      <c r="Q58" s="631">
        <f t="shared" si="45"/>
        <v>204037403.484</v>
      </c>
      <c r="R58" s="907">
        <f t="shared" si="45"/>
        <v>286269540</v>
      </c>
      <c r="S58" s="907">
        <f t="shared" si="45"/>
        <v>203438742</v>
      </c>
      <c r="T58" s="907">
        <f t="shared" si="46"/>
        <v>208808160</v>
      </c>
      <c r="U58" s="908">
        <f t="shared" si="46"/>
        <v>204037403.484</v>
      </c>
      <c r="AC58" s="725" t="s">
        <v>188</v>
      </c>
      <c r="AD58" s="865">
        <v>10.5</v>
      </c>
      <c r="AE58" s="358" t="s">
        <v>666</v>
      </c>
      <c r="AF58" s="726">
        <v>1</v>
      </c>
      <c r="AG58" s="456" t="s">
        <v>671</v>
      </c>
      <c r="AH58" s="791">
        <v>1147958.58</v>
      </c>
      <c r="AI58" s="688">
        <f>'4-1. UPC &amp; NCE(Grid)'!AF39</f>
        <v>0</v>
      </c>
      <c r="AJ58" s="688">
        <f>'4-1. UPC &amp; NCE(Grid)'!AG39</f>
        <v>0</v>
      </c>
      <c r="AK58" s="688">
        <f>'4-1. UPC &amp; NCE(Grid)'!AH39</f>
        <v>0</v>
      </c>
      <c r="AL58" s="688">
        <f>'4-1. UPC &amp; NCE(Grid)'!AI39</f>
        <v>0</v>
      </c>
      <c r="AM58" s="688">
        <f>'4-1. UPC &amp; NCE(Grid)'!AJ39</f>
        <v>6894919.1584128262</v>
      </c>
      <c r="AN58" s="688">
        <f>'4-1. UPC &amp; NCE(Grid)'!AK39</f>
        <v>5687326.2511663605</v>
      </c>
      <c r="AO58" s="688">
        <f>'4-1. UPC &amp; NCE(Grid)'!AL39</f>
        <v>4638741.1482759397</v>
      </c>
      <c r="AP58" s="688">
        <f>'4-1. UPC &amp; NCE(Grid)'!AM39</f>
        <v>3909743.0797948623</v>
      </c>
      <c r="AQ58" s="688">
        <f>'4-1. UPC &amp; NCE(Grid)'!AN39</f>
        <v>0</v>
      </c>
      <c r="AR58" s="688">
        <f>'4-1. UPC &amp; NCE(Grid)'!AO39</f>
        <v>0</v>
      </c>
      <c r="AS58" s="688">
        <f>'4-1. UPC &amp; NCE(Grid)'!AP39</f>
        <v>0</v>
      </c>
      <c r="AT58" s="688">
        <f>'4-1. UPC &amp; NCE(Grid)'!AQ39</f>
        <v>0</v>
      </c>
      <c r="AU58" s="688">
        <f>'4-1. UPC &amp; NCE(Grid)'!AR39</f>
        <v>195333.86508122331</v>
      </c>
      <c r="AV58" s="688">
        <f>'4-1. UPC &amp; NCE(Grid)'!AS39</f>
        <v>436942.91892530688</v>
      </c>
      <c r="AW58" s="688">
        <f>'4-1. UPC &amp; NCE(Grid)'!AT39</f>
        <v>444950.6402923296</v>
      </c>
      <c r="AX58" s="688">
        <f>'4-1. UPC &amp; NCE(Grid)'!AU39</f>
        <v>1102471.3450743281</v>
      </c>
      <c r="BB58" s="387"/>
      <c r="BC58" s="386"/>
    </row>
    <row r="59" spans="2:55">
      <c r="B59" s="222" t="s">
        <v>926</v>
      </c>
      <c r="C59" s="358"/>
      <c r="D59" s="358"/>
      <c r="E59" s="630">
        <f t="shared" si="27"/>
        <v>511.8347</v>
      </c>
      <c r="F59" s="630">
        <f t="shared" si="28"/>
        <v>413.87488868788103</v>
      </c>
      <c r="G59" s="630">
        <f t="shared" si="31"/>
        <v>398.06999071205979</v>
      </c>
      <c r="H59" s="630">
        <f t="shared" si="32"/>
        <v>408.47464380730923</v>
      </c>
      <c r="I59" s="630">
        <f t="shared" si="33"/>
        <v>428.40592308595149</v>
      </c>
      <c r="J59" s="630">
        <f t="shared" si="34"/>
        <v>413.87488868788103</v>
      </c>
      <c r="K59" s="693">
        <f t="shared" si="35"/>
        <v>398.06999071205979</v>
      </c>
      <c r="L59" s="693">
        <f t="shared" si="36"/>
        <v>408.47464380730923</v>
      </c>
      <c r="M59" s="693">
        <f t="shared" si="37"/>
        <v>428.40592308595149</v>
      </c>
      <c r="N59" s="693">
        <f t="shared" si="38"/>
        <v>413.87488868788103</v>
      </c>
      <c r="O59" s="693">
        <f t="shared" si="38"/>
        <v>398.06999071205979</v>
      </c>
      <c r="P59" s="631">
        <f t="shared" si="45"/>
        <v>408.47464380730923</v>
      </c>
      <c r="Q59" s="631">
        <f t="shared" si="45"/>
        <v>428.40592308595149</v>
      </c>
      <c r="R59" s="907">
        <f t="shared" si="45"/>
        <v>413.87488868788103</v>
      </c>
      <c r="S59" s="907">
        <f t="shared" si="45"/>
        <v>398.06999071205979</v>
      </c>
      <c r="T59" s="907">
        <f t="shared" si="46"/>
        <v>408.47464380730923</v>
      </c>
      <c r="U59" s="908">
        <f t="shared" si="46"/>
        <v>428.40592308595149</v>
      </c>
      <c r="AC59" s="725" t="s">
        <v>596</v>
      </c>
      <c r="AD59" s="865">
        <v>0.15</v>
      </c>
      <c r="AE59" s="358" t="s">
        <v>665</v>
      </c>
      <c r="AF59" s="726">
        <v>1</v>
      </c>
      <c r="AG59" s="456" t="s">
        <v>657</v>
      </c>
      <c r="AH59" s="791">
        <v>2693074538.4333334</v>
      </c>
      <c r="AI59" s="688">
        <f>'4-1. UPC &amp; NCE(Grid)'!AF40</f>
        <v>1908463600</v>
      </c>
      <c r="AJ59" s="688">
        <f>'4-1. UPC &amp; NCE(Grid)'!AG40</f>
        <v>1356258280</v>
      </c>
      <c r="AK59" s="688">
        <f>'4-1. UPC &amp; NCE(Grid)'!AH40</f>
        <v>1392054400</v>
      </c>
      <c r="AL59" s="688">
        <f>'4-1. UPC &amp; NCE(Grid)'!AI40</f>
        <v>1360249356.5599999</v>
      </c>
      <c r="AM59" s="688">
        <f>'4-1. UPC &amp; NCE(Grid)'!AJ40</f>
        <v>1908463600</v>
      </c>
      <c r="AN59" s="688">
        <f>'4-1. UPC &amp; NCE(Grid)'!AK40</f>
        <v>1356258280</v>
      </c>
      <c r="AO59" s="688">
        <f>'4-1. UPC &amp; NCE(Grid)'!AL40</f>
        <v>1392054400</v>
      </c>
      <c r="AP59" s="688">
        <f>'4-1. UPC &amp; NCE(Grid)'!AM40</f>
        <v>1360249356.5599999</v>
      </c>
      <c r="AQ59" s="688">
        <f>'4-1. UPC &amp; NCE(Grid)'!AN40</f>
        <v>1908463600</v>
      </c>
      <c r="AR59" s="688">
        <f>'4-1. UPC &amp; NCE(Grid)'!AO40</f>
        <v>1356258280</v>
      </c>
      <c r="AS59" s="688">
        <f>'4-1. UPC &amp; NCE(Grid)'!AP40</f>
        <v>1392054400</v>
      </c>
      <c r="AT59" s="688">
        <f>'4-1. UPC &amp; NCE(Grid)'!AQ40</f>
        <v>1360249356.5599999</v>
      </c>
      <c r="AU59" s="688">
        <f>'4-1. UPC &amp; NCE(Grid)'!AR40</f>
        <v>1908463600</v>
      </c>
      <c r="AV59" s="688">
        <f>'4-1. UPC &amp; NCE(Grid)'!AS40</f>
        <v>1356258280</v>
      </c>
      <c r="AW59" s="688">
        <f>'4-1. UPC &amp; NCE(Grid)'!AT40</f>
        <v>1392054400</v>
      </c>
      <c r="AX59" s="688">
        <f>'4-1. UPC &amp; NCE(Grid)'!AU40</f>
        <v>1360249356.5599999</v>
      </c>
      <c r="BB59" s="387"/>
      <c r="BC59" s="386"/>
    </row>
    <row r="60" spans="2:55">
      <c r="B60" s="222" t="s">
        <v>927</v>
      </c>
      <c r="C60" s="358"/>
      <c r="D60" s="358"/>
      <c r="E60" s="630">
        <f t="shared" si="27"/>
        <v>0</v>
      </c>
      <c r="F60" s="630">
        <f t="shared" si="28"/>
        <v>0</v>
      </c>
      <c r="G60" s="630">
        <f t="shared" si="31"/>
        <v>0</v>
      </c>
      <c r="H60" s="630">
        <f t="shared" si="32"/>
        <v>0</v>
      </c>
      <c r="I60" s="630">
        <f t="shared" si="33"/>
        <v>0</v>
      </c>
      <c r="J60" s="630">
        <f t="shared" si="34"/>
        <v>0</v>
      </c>
      <c r="K60" s="693">
        <f t="shared" si="35"/>
        <v>0</v>
      </c>
      <c r="L60" s="693">
        <f t="shared" si="36"/>
        <v>0</v>
      </c>
      <c r="M60" s="693">
        <f t="shared" si="37"/>
        <v>0</v>
      </c>
      <c r="N60" s="693">
        <f t="shared" si="38"/>
        <v>0</v>
      </c>
      <c r="O60" s="693">
        <f t="shared" si="38"/>
        <v>0</v>
      </c>
      <c r="P60" s="631">
        <f t="shared" si="45"/>
        <v>0</v>
      </c>
      <c r="Q60" s="631">
        <f t="shared" si="45"/>
        <v>0</v>
      </c>
      <c r="R60" s="907">
        <f t="shared" si="45"/>
        <v>0</v>
      </c>
      <c r="S60" s="907">
        <f t="shared" si="45"/>
        <v>0</v>
      </c>
      <c r="T60" s="907">
        <f t="shared" si="46"/>
        <v>0</v>
      </c>
      <c r="U60" s="908">
        <f t="shared" si="46"/>
        <v>0</v>
      </c>
      <c r="AC60" s="725" t="s">
        <v>926</v>
      </c>
      <c r="AD60" s="865">
        <v>6.11</v>
      </c>
      <c r="AE60" s="358" t="s">
        <v>664</v>
      </c>
      <c r="AF60" s="726">
        <v>1</v>
      </c>
      <c r="AG60" s="456" t="s">
        <v>677</v>
      </c>
      <c r="AH60" s="791">
        <f>16754/0.01*4*0.1/8000</f>
        <v>83.77</v>
      </c>
      <c r="AI60" s="688">
        <f>'4-1. UPC &amp; NCE(Grid)'!AF41</f>
        <v>67.737297657591</v>
      </c>
      <c r="AJ60" s="688">
        <f>'4-1. UPC &amp; NCE(Grid)'!AG41</f>
        <v>65.150571311302741</v>
      </c>
      <c r="AK60" s="688">
        <f>'4-1. UPC &amp; NCE(Grid)'!AH41</f>
        <v>66.853460524927854</v>
      </c>
      <c r="AL60" s="688">
        <f>'4-1. UPC &amp; NCE(Grid)'!AI41</f>
        <v>70.115535693281743</v>
      </c>
      <c r="AM60" s="688">
        <f>'4-1. UPC &amp; NCE(Grid)'!AJ41</f>
        <v>67.737297657591</v>
      </c>
      <c r="AN60" s="688">
        <f>'4-1. UPC &amp; NCE(Grid)'!AK41</f>
        <v>65.150571311302741</v>
      </c>
      <c r="AO60" s="688">
        <f>'4-1. UPC &amp; NCE(Grid)'!AL41</f>
        <v>66.853460524927854</v>
      </c>
      <c r="AP60" s="688">
        <f>'4-1. UPC &amp; NCE(Grid)'!AM41</f>
        <v>70.115535693281743</v>
      </c>
      <c r="AQ60" s="688">
        <f>'4-1. UPC &amp; NCE(Grid)'!AN41</f>
        <v>67.737297657591</v>
      </c>
      <c r="AR60" s="688">
        <f>'4-1. UPC &amp; NCE(Grid)'!AO41</f>
        <v>65.150571311302741</v>
      </c>
      <c r="AS60" s="688">
        <f>'4-1. UPC &amp; NCE(Grid)'!AP41</f>
        <v>66.853460524927854</v>
      </c>
      <c r="AT60" s="688">
        <f>'4-1. UPC &amp; NCE(Grid)'!AQ41</f>
        <v>70.115535693281743</v>
      </c>
      <c r="AU60" s="688">
        <f>'4-1. UPC &amp; NCE(Grid)'!AR41</f>
        <v>67.737297657591</v>
      </c>
      <c r="AV60" s="688">
        <f>'4-1. UPC &amp; NCE(Grid)'!AS41</f>
        <v>65.150571311302741</v>
      </c>
      <c r="AW60" s="688">
        <f>'4-1. UPC &amp; NCE(Grid)'!AT41</f>
        <v>66.853460524927854</v>
      </c>
      <c r="AX60" s="688">
        <f>'4-1. UPC &amp; NCE(Grid)'!AU41</f>
        <v>70.115535693281743</v>
      </c>
      <c r="BB60" s="387"/>
      <c r="BC60" s="386"/>
    </row>
    <row r="61" spans="2:55">
      <c r="B61" s="222" t="s">
        <v>1040</v>
      </c>
      <c r="C61" s="358"/>
      <c r="D61" s="358"/>
      <c r="E61" s="630">
        <f t="shared" si="27"/>
        <v>0</v>
      </c>
      <c r="F61" s="630">
        <f t="shared" si="28"/>
        <v>0</v>
      </c>
      <c r="G61" s="630">
        <f t="shared" si="31"/>
        <v>0</v>
      </c>
      <c r="H61" s="630">
        <f t="shared" si="32"/>
        <v>0</v>
      </c>
      <c r="I61" s="630">
        <f t="shared" si="33"/>
        <v>0</v>
      </c>
      <c r="J61" s="630">
        <f t="shared" si="34"/>
        <v>469107.75587250676</v>
      </c>
      <c r="K61" s="693">
        <f t="shared" si="35"/>
        <v>749194.26466125378</v>
      </c>
      <c r="L61" s="693">
        <f t="shared" si="36"/>
        <v>1711029.347823356</v>
      </c>
      <c r="M61" s="693">
        <f t="shared" si="37"/>
        <v>1851239.6148205032</v>
      </c>
      <c r="N61" s="693">
        <f t="shared" si="38"/>
        <v>0</v>
      </c>
      <c r="O61" s="693">
        <f t="shared" si="38"/>
        <v>0</v>
      </c>
      <c r="P61" s="631">
        <f t="shared" si="45"/>
        <v>0</v>
      </c>
      <c r="Q61" s="631">
        <f t="shared" si="45"/>
        <v>0</v>
      </c>
      <c r="R61" s="907">
        <f t="shared" si="45"/>
        <v>200406.4806637087</v>
      </c>
      <c r="S61" s="907">
        <f t="shared" si="45"/>
        <v>460882.59985432553</v>
      </c>
      <c r="T61" s="907">
        <f t="shared" si="46"/>
        <v>514115.43904019392</v>
      </c>
      <c r="U61" s="908">
        <f t="shared" si="46"/>
        <v>538504.99053586263</v>
      </c>
      <c r="AC61" s="725" t="s">
        <v>927</v>
      </c>
      <c r="AD61" s="865">
        <v>50</v>
      </c>
      <c r="AE61" s="358" t="s">
        <v>664</v>
      </c>
      <c r="AF61" s="726">
        <v>1</v>
      </c>
      <c r="AG61" s="456" t="s">
        <v>677</v>
      </c>
      <c r="AH61" s="791">
        <v>0</v>
      </c>
      <c r="AI61" s="688">
        <f>'4-1. UPC &amp; NCE(Grid)'!AF42</f>
        <v>0</v>
      </c>
      <c r="AJ61" s="688">
        <f>'4-1. UPC &amp; NCE(Grid)'!AG42</f>
        <v>0</v>
      </c>
      <c r="AK61" s="688">
        <f>'4-1. UPC &amp; NCE(Grid)'!AH42</f>
        <v>0</v>
      </c>
      <c r="AL61" s="688">
        <f>'4-1. UPC &amp; NCE(Grid)'!AI42</f>
        <v>0</v>
      </c>
      <c r="AM61" s="688">
        <f>'4-1. UPC &amp; NCE(Grid)'!AJ42</f>
        <v>0</v>
      </c>
      <c r="AN61" s="688">
        <f>'4-1. UPC &amp; NCE(Grid)'!AK42</f>
        <v>0</v>
      </c>
      <c r="AO61" s="688">
        <f>'4-1. UPC &amp; NCE(Grid)'!AL42</f>
        <v>0</v>
      </c>
      <c r="AP61" s="688">
        <f>'4-1. UPC &amp; NCE(Grid)'!AM42</f>
        <v>0</v>
      </c>
      <c r="AQ61" s="688">
        <f>'4-1. UPC &amp; NCE(Grid)'!AN42</f>
        <v>0</v>
      </c>
      <c r="AR61" s="688">
        <f>'4-1. UPC &amp; NCE(Grid)'!AO42</f>
        <v>0</v>
      </c>
      <c r="AS61" s="688">
        <f>'4-1. UPC &amp; NCE(Grid)'!AP42</f>
        <v>0</v>
      </c>
      <c r="AT61" s="688">
        <f>'4-1. UPC &amp; NCE(Grid)'!AQ42</f>
        <v>0</v>
      </c>
      <c r="AU61" s="688">
        <f>'4-1. UPC &amp; NCE(Grid)'!AR42</f>
        <v>0</v>
      </c>
      <c r="AV61" s="688">
        <f>'4-1. UPC &amp; NCE(Grid)'!AS42</f>
        <v>0</v>
      </c>
      <c r="AW61" s="688">
        <f>'4-1. UPC &amp; NCE(Grid)'!AT42</f>
        <v>0</v>
      </c>
      <c r="AX61" s="688">
        <f>'4-1. UPC &amp; NCE(Grid)'!AU42</f>
        <v>0</v>
      </c>
      <c r="BB61" s="387"/>
      <c r="BC61" s="386"/>
    </row>
    <row r="62" spans="2:55">
      <c r="B62" s="222" t="s">
        <v>1041</v>
      </c>
      <c r="C62" s="358"/>
      <c r="D62" s="358"/>
      <c r="E62" s="630">
        <f t="shared" si="27"/>
        <v>0</v>
      </c>
      <c r="F62" s="630">
        <f t="shared" si="28"/>
        <v>0</v>
      </c>
      <c r="G62" s="630">
        <f t="shared" si="31"/>
        <v>0</v>
      </c>
      <c r="H62" s="630">
        <f t="shared" si="32"/>
        <v>0</v>
      </c>
      <c r="I62" s="630">
        <f t="shared" si="33"/>
        <v>0</v>
      </c>
      <c r="J62" s="630">
        <f t="shared" si="34"/>
        <v>0</v>
      </c>
      <c r="K62" s="693">
        <f t="shared" si="35"/>
        <v>0</v>
      </c>
      <c r="L62" s="693">
        <f t="shared" si="36"/>
        <v>0</v>
      </c>
      <c r="M62" s="693">
        <f t="shared" si="37"/>
        <v>0</v>
      </c>
      <c r="N62" s="693">
        <f t="shared" si="38"/>
        <v>0</v>
      </c>
      <c r="O62" s="693">
        <f t="shared" si="38"/>
        <v>0</v>
      </c>
      <c r="P62" s="631">
        <f t="shared" si="45"/>
        <v>0</v>
      </c>
      <c r="Q62" s="631">
        <f t="shared" si="45"/>
        <v>0</v>
      </c>
      <c r="R62" s="907">
        <f t="shared" si="45"/>
        <v>0</v>
      </c>
      <c r="S62" s="907">
        <f t="shared" si="45"/>
        <v>0</v>
      </c>
      <c r="T62" s="907">
        <f t="shared" si="46"/>
        <v>0</v>
      </c>
      <c r="U62" s="908">
        <f t="shared" si="46"/>
        <v>0</v>
      </c>
      <c r="AC62" s="725" t="s">
        <v>1040</v>
      </c>
      <c r="AD62" s="865">
        <v>0.97</v>
      </c>
      <c r="AE62" s="358" t="s">
        <v>664</v>
      </c>
      <c r="AF62" s="726">
        <v>1</v>
      </c>
      <c r="AG62" s="456" t="s">
        <v>677</v>
      </c>
      <c r="AH62" s="791">
        <v>0</v>
      </c>
      <c r="AI62" s="751">
        <f>'2-1. Aspen Utility'!G32*8000</f>
        <v>0</v>
      </c>
      <c r="AJ62" s="751">
        <f>'2-1. Aspen Utility'!H32*8000</f>
        <v>0</v>
      </c>
      <c r="AK62" s="751">
        <f>'2-1. Aspen Utility'!I32*8000</f>
        <v>0</v>
      </c>
      <c r="AL62" s="751">
        <f>'2-1. Aspen Utility'!J32*8000</f>
        <v>0</v>
      </c>
      <c r="AM62" s="751">
        <f>60.4520303959416*8000</f>
        <v>483616.24316753278</v>
      </c>
      <c r="AN62" s="751">
        <f>96.5456526625327*8000</f>
        <v>772365.22130026168</v>
      </c>
      <c r="AO62" s="751">
        <f>220.493472657649*8000</f>
        <v>1763947.7812611919</v>
      </c>
      <c r="AP62" s="751">
        <f>238.56180603357*8000</f>
        <v>1908494.44826856</v>
      </c>
      <c r="AQ62" s="751">
        <f>'2-1. Aspen Utility'!O32*8000</f>
        <v>0</v>
      </c>
      <c r="AR62" s="751">
        <f>'2-1. Aspen Utility'!P32*8000</f>
        <v>0</v>
      </c>
      <c r="AS62" s="751">
        <f>'2-1. Aspen Utility'!Q32*8000</f>
        <v>0</v>
      </c>
      <c r="AT62" s="751">
        <f>'2-1. Aspen Utility'!R32*8000</f>
        <v>0</v>
      </c>
      <c r="AU62" s="751">
        <f>25.8255774051171*8000</f>
        <v>206604.61924093682</v>
      </c>
      <c r="AV62" s="751">
        <f>59.3920876100935*8000</f>
        <v>475136.70088074799</v>
      </c>
      <c r="AW62" s="751">
        <f>66.2519895670353*8000</f>
        <v>530015.9165362824</v>
      </c>
      <c r="AX62" s="751">
        <f>69.3949730071988*8000</f>
        <v>555159.78405759041</v>
      </c>
      <c r="BA62" s="390"/>
      <c r="BB62" s="387"/>
      <c r="BC62" s="386"/>
    </row>
    <row r="63" spans="2:55" ht="17.25" thickBot="1">
      <c r="B63" s="345" t="s">
        <v>660</v>
      </c>
      <c r="C63" s="436"/>
      <c r="D63" s="436"/>
      <c r="E63" s="626" t="e">
        <f t="shared" ref="E63:S63" si="47">SUM(E64:E68)</f>
        <v>#REF!</v>
      </c>
      <c r="F63" s="626">
        <f t="shared" si="47"/>
        <v>91664762.83276242</v>
      </c>
      <c r="G63" s="626">
        <f t="shared" si="47"/>
        <v>75381394.05778262</v>
      </c>
      <c r="H63" s="626">
        <f t="shared" si="47"/>
        <v>68900196.107704014</v>
      </c>
      <c r="I63" s="626">
        <f t="shared" si="47"/>
        <v>62374285.522919767</v>
      </c>
      <c r="J63" s="626">
        <f t="shared" si="47"/>
        <v>99714338.972894505</v>
      </c>
      <c r="K63" s="692">
        <f>SUM(K64:K68)</f>
        <v>83200617.205161765</v>
      </c>
      <c r="L63" s="692">
        <f>SUM(L64:L68)</f>
        <v>75770730.508747593</v>
      </c>
      <c r="M63" s="692">
        <f>SUM(M64:M68)</f>
        <v>69144513.581538424</v>
      </c>
      <c r="N63" s="692">
        <f t="shared" si="47"/>
        <v>96379455.422865584</v>
      </c>
      <c r="O63" s="692">
        <f t="shared" ref="O63" si="48">SUM(O64:O68)</f>
        <v>76824619.141688496</v>
      </c>
      <c r="P63" s="627">
        <f t="shared" si="47"/>
        <v>68212567.151764378</v>
      </c>
      <c r="Q63" s="627">
        <f t="shared" si="47"/>
        <v>60663534.966694668</v>
      </c>
      <c r="R63" s="903">
        <f t="shared" si="47"/>
        <v>96820136.65942052</v>
      </c>
      <c r="S63" s="903">
        <f t="shared" si="47"/>
        <v>77742546.598744363</v>
      </c>
      <c r="T63" s="903">
        <f t="shared" ref="T63:U63" si="49">SUM(T64:T68)</f>
        <v>69186048.865989</v>
      </c>
      <c r="U63" s="904">
        <f t="shared" si="49"/>
        <v>62425171.594883829</v>
      </c>
      <c r="AC63" s="729" t="s">
        <v>1041</v>
      </c>
      <c r="AD63" s="866">
        <v>100</v>
      </c>
      <c r="AE63" s="731" t="s">
        <v>1042</v>
      </c>
      <c r="AF63" s="732">
        <v>1</v>
      </c>
      <c r="AG63" s="584" t="s">
        <v>1043</v>
      </c>
      <c r="AH63" s="791">
        <v>0</v>
      </c>
      <c r="AI63" s="688">
        <v>0</v>
      </c>
      <c r="AJ63" s="688">
        <v>0</v>
      </c>
      <c r="AK63" s="688">
        <v>0</v>
      </c>
      <c r="AL63" s="688">
        <v>0</v>
      </c>
      <c r="AM63" s="688">
        <v>0</v>
      </c>
      <c r="AN63" s="689"/>
      <c r="AO63" s="689"/>
      <c r="AP63" s="689"/>
      <c r="AQ63" s="689">
        <v>0</v>
      </c>
      <c r="AR63" s="689"/>
      <c r="AS63" s="690">
        <v>0</v>
      </c>
      <c r="AT63" s="690">
        <v>0</v>
      </c>
      <c r="AU63" s="690"/>
      <c r="AV63" s="690">
        <v>0</v>
      </c>
      <c r="BA63" s="390"/>
      <c r="BB63" s="387"/>
      <c r="BC63" s="386"/>
    </row>
    <row r="64" spans="2:55">
      <c r="B64" s="931" t="s">
        <v>1266</v>
      </c>
      <c r="C64" s="358"/>
      <c r="D64" s="358"/>
      <c r="E64" s="630">
        <v>760000</v>
      </c>
      <c r="F64" s="630">
        <f>F22*0.02</f>
        <v>52759217.275238805</v>
      </c>
      <c r="G64" s="630">
        <f t="shared" ref="G64:U64" si="50">G22*0.02</f>
        <v>43387046.720023617</v>
      </c>
      <c r="H64" s="630">
        <f t="shared" si="50"/>
        <v>39656682.725345686</v>
      </c>
      <c r="I64" s="630">
        <f t="shared" si="50"/>
        <v>35900583.611342914</v>
      </c>
      <c r="J64" s="630">
        <f t="shared" si="50"/>
        <v>57392288.080490649</v>
      </c>
      <c r="K64" s="630">
        <f t="shared" si="50"/>
        <v>47887533.932419546</v>
      </c>
      <c r="L64" s="630">
        <f t="shared" si="50"/>
        <v>43611135.953168832</v>
      </c>
      <c r="M64" s="630">
        <f t="shared" si="50"/>
        <v>39797303.81340418</v>
      </c>
      <c r="N64" s="630">
        <f t="shared" si="50"/>
        <v>55472838.988317691</v>
      </c>
      <c r="O64" s="630">
        <f t="shared" si="50"/>
        <v>44217719.526299074</v>
      </c>
      <c r="P64" s="630">
        <f t="shared" si="50"/>
        <v>39260906.154610939</v>
      </c>
      <c r="Q64" s="630">
        <f t="shared" si="50"/>
        <v>34915931.95774854</v>
      </c>
      <c r="R64" s="630">
        <f t="shared" si="50"/>
        <v>55726480.588317692</v>
      </c>
      <c r="S64" s="630">
        <f t="shared" si="50"/>
        <v>44746048.326299079</v>
      </c>
      <c r="T64" s="630">
        <f t="shared" si="50"/>
        <v>39821210.154610939</v>
      </c>
      <c r="U64" s="630">
        <f t="shared" si="50"/>
        <v>35929871.95774854</v>
      </c>
      <c r="AC64" s="728" t="s">
        <v>1239</v>
      </c>
      <c r="AD64" s="865">
        <v>0</v>
      </c>
      <c r="AE64" s="358" t="s">
        <v>666</v>
      </c>
      <c r="AF64" s="877">
        <v>1</v>
      </c>
      <c r="AG64" s="878" t="s">
        <v>1241</v>
      </c>
      <c r="AI64" s="370">
        <f t="shared" ref="AI64:AX64" si="51">(F129+F130+F131-F140*4-F141*2.5-F142*2-F143*0)/1000</f>
        <v>8113426.3970637359</v>
      </c>
      <c r="AJ64" s="370">
        <f t="shared" si="51"/>
        <v>6053412.4033492543</v>
      </c>
      <c r="AK64" s="370">
        <f t="shared" si="51"/>
        <v>5255749.2839561179</v>
      </c>
      <c r="AL64" s="370">
        <f t="shared" si="51"/>
        <v>4752220.3505725432</v>
      </c>
      <c r="AM64" s="370">
        <f t="shared" si="51"/>
        <v>6029141.9551703269</v>
      </c>
      <c r="AN64" s="370">
        <f t="shared" si="51"/>
        <v>3202677.8793570884</v>
      </c>
      <c r="AO64" s="370">
        <f t="shared" si="51"/>
        <v>2791450.914571431</v>
      </c>
      <c r="AP64" s="370">
        <f t="shared" si="51"/>
        <v>2433288.3717211829</v>
      </c>
      <c r="AQ64" s="370">
        <f t="shared" si="51"/>
        <v>2559331.5991213056</v>
      </c>
      <c r="AR64" s="370">
        <f t="shared" si="51"/>
        <v>1764237.6387402248</v>
      </c>
      <c r="AS64" s="370">
        <f t="shared" si="51"/>
        <v>1696618.4267249582</v>
      </c>
      <c r="AT64" s="370">
        <f t="shared" si="51"/>
        <v>1676079.9979513881</v>
      </c>
      <c r="AU64" s="370">
        <f t="shared" si="51"/>
        <v>2466780.0402867594</v>
      </c>
      <c r="AV64" s="370">
        <f t="shared" si="51"/>
        <v>1531978.8583080855</v>
      </c>
      <c r="AW64" s="370">
        <f t="shared" si="51"/>
        <v>1443435.4823124344</v>
      </c>
      <c r="AX64" s="370">
        <f t="shared" si="51"/>
        <v>1333331.9116636692</v>
      </c>
      <c r="BA64" s="390"/>
      <c r="BB64" s="387"/>
      <c r="BC64" s="386"/>
    </row>
    <row r="65" spans="2:55">
      <c r="B65" s="361" t="s">
        <v>614</v>
      </c>
      <c r="C65" s="358"/>
      <c r="D65" s="358"/>
      <c r="E65" s="630" t="e">
        <f t="shared" ref="E65:N65" si="52">0.03*E37</f>
        <v>#REF!</v>
      </c>
      <c r="F65" s="630">
        <f>0.03*F37</f>
        <v>9841578.3019698877</v>
      </c>
      <c r="G65" s="630">
        <f t="shared" si="52"/>
        <v>8093316.0050260713</v>
      </c>
      <c r="H65" s="630">
        <f t="shared" si="52"/>
        <v>7397462.8206062512</v>
      </c>
      <c r="I65" s="630">
        <f t="shared" si="52"/>
        <v>6696809.0685315998</v>
      </c>
      <c r="J65" s="630">
        <f t="shared" si="52"/>
        <v>10705820.257467138</v>
      </c>
      <c r="K65" s="693">
        <f t="shared" si="52"/>
        <v>8932826.1339717489</v>
      </c>
      <c r="L65" s="693">
        <f t="shared" si="52"/>
        <v>8135117.0750290947</v>
      </c>
      <c r="M65" s="693">
        <f t="shared" si="52"/>
        <v>7423693.9423042117</v>
      </c>
      <c r="N65" s="693">
        <f t="shared" si="52"/>
        <v>10347770.811079105</v>
      </c>
      <c r="O65" s="693">
        <f t="shared" ref="O65" si="53">0.03*O37</f>
        <v>8248267.7250947803</v>
      </c>
      <c r="P65" s="631">
        <f>0.03*P37</f>
        <v>7323635.6049625669</v>
      </c>
      <c r="Q65" s="631">
        <f>0.03*Q37</f>
        <v>6513134.5022760238</v>
      </c>
      <c r="R65" s="907">
        <f>0.03*R37</f>
        <v>10395084.508968411</v>
      </c>
      <c r="S65" s="907">
        <f t="shared" ref="S65:U65" si="54">0.03*S37</f>
        <v>8346820.9168007933</v>
      </c>
      <c r="T65" s="907">
        <f t="shared" si="54"/>
        <v>7428153.3740594732</v>
      </c>
      <c r="U65" s="907">
        <f t="shared" si="54"/>
        <v>6702272.4466742743</v>
      </c>
      <c r="AN65" s="705"/>
      <c r="AO65" s="705"/>
      <c r="AP65" s="705"/>
      <c r="AQ65" s="705"/>
      <c r="AR65" s="705"/>
      <c r="BA65" s="390"/>
      <c r="BB65" s="387"/>
      <c r="BC65" s="386"/>
    </row>
    <row r="66" spans="2:55">
      <c r="B66" s="361" t="s">
        <v>615</v>
      </c>
      <c r="C66" s="358"/>
      <c r="D66" s="358"/>
      <c r="E66" s="630">
        <f t="shared" ref="E66:S66" si="55">0.15*E64</f>
        <v>114000</v>
      </c>
      <c r="F66" s="630">
        <f>0.15*F64</f>
        <v>7913882.5912858201</v>
      </c>
      <c r="G66" s="630">
        <f t="shared" si="55"/>
        <v>6508057.0080035422</v>
      </c>
      <c r="H66" s="630">
        <f t="shared" si="55"/>
        <v>5948502.4088018527</v>
      </c>
      <c r="I66" s="630">
        <f t="shared" si="55"/>
        <v>5385087.541701437</v>
      </c>
      <c r="J66" s="630">
        <f t="shared" si="55"/>
        <v>8608843.2120735962</v>
      </c>
      <c r="K66" s="693">
        <f>0.15*K64</f>
        <v>7183130.0898629315</v>
      </c>
      <c r="L66" s="693">
        <f>0.15*L64</f>
        <v>6541670.3929753248</v>
      </c>
      <c r="M66" s="693">
        <f>0.15*M64</f>
        <v>5969595.572010627</v>
      </c>
      <c r="N66" s="693">
        <f t="shared" si="55"/>
        <v>8320925.8482476529</v>
      </c>
      <c r="O66" s="693">
        <f t="shared" ref="O66" si="56">0.15*O64</f>
        <v>6632657.9289448606</v>
      </c>
      <c r="P66" s="631">
        <f t="shared" si="55"/>
        <v>5889135.9231916405</v>
      </c>
      <c r="Q66" s="631">
        <f t="shared" si="55"/>
        <v>5237389.7936622808</v>
      </c>
      <c r="R66" s="907">
        <f t="shared" si="55"/>
        <v>8358972.0882476531</v>
      </c>
      <c r="S66" s="907">
        <f t="shared" si="55"/>
        <v>6711907.2489448618</v>
      </c>
      <c r="T66" s="907">
        <f t="shared" ref="T66:U66" si="57">0.15*T64</f>
        <v>5973181.5231916411</v>
      </c>
      <c r="U66" s="908">
        <f t="shared" si="57"/>
        <v>5389480.7936622808</v>
      </c>
      <c r="AC66" s="391"/>
      <c r="AN66" s="705"/>
      <c r="AO66" s="705"/>
      <c r="AP66" s="705"/>
      <c r="AQ66" s="705"/>
      <c r="AR66" s="705"/>
      <c r="AS66" s="403"/>
      <c r="AT66" s="435"/>
      <c r="AU66" s="435"/>
      <c r="AV66" s="435"/>
      <c r="BA66" s="390"/>
      <c r="BB66" s="387"/>
      <c r="BC66" s="386"/>
    </row>
    <row r="67" spans="2:55">
      <c r="B67" s="361" t="s">
        <v>616</v>
      </c>
      <c r="C67" s="358"/>
      <c r="D67" s="358"/>
      <c r="E67" s="630" t="e">
        <f t="shared" ref="E67:U67" si="58">0.25*(E64+E65)</f>
        <v>#REF!</v>
      </c>
      <c r="F67" s="630">
        <f>0.25*(F64+F65)</f>
        <v>15650198.894302173</v>
      </c>
      <c r="G67" s="630">
        <f t="shared" si="58"/>
        <v>12870090.681262422</v>
      </c>
      <c r="H67" s="630">
        <f t="shared" si="58"/>
        <v>11763536.386487985</v>
      </c>
      <c r="I67" s="630">
        <f t="shared" si="58"/>
        <v>10649348.169968629</v>
      </c>
      <c r="J67" s="630">
        <f t="shared" si="58"/>
        <v>17024527.084489446</v>
      </c>
      <c r="K67" s="693">
        <f>0.25*(K64+K65)</f>
        <v>14205090.016597824</v>
      </c>
      <c r="L67" s="693">
        <f>0.25*(L64+L65)</f>
        <v>12936563.257049482</v>
      </c>
      <c r="M67" s="693">
        <f>0.25*(M64+M65)</f>
        <v>11805249.438927097</v>
      </c>
      <c r="N67" s="693">
        <f t="shared" si="58"/>
        <v>16455152.4498492</v>
      </c>
      <c r="O67" s="693">
        <f t="shared" ref="O67" si="59">0.25*(O64+O65)</f>
        <v>13116496.812848464</v>
      </c>
      <c r="P67" s="631">
        <f t="shared" si="58"/>
        <v>11646135.439893376</v>
      </c>
      <c r="Q67" s="631">
        <f t="shared" si="58"/>
        <v>10357266.615006141</v>
      </c>
      <c r="R67" s="907">
        <f t="shared" si="58"/>
        <v>16530391.274321526</v>
      </c>
      <c r="S67" s="907">
        <f t="shared" si="58"/>
        <v>13273217.310774967</v>
      </c>
      <c r="T67" s="907">
        <f t="shared" si="58"/>
        <v>11812340.882167604</v>
      </c>
      <c r="U67" s="907">
        <f t="shared" si="58"/>
        <v>10658036.101105703</v>
      </c>
      <c r="AC67" s="370">
        <f>1424*1300</f>
        <v>1851200</v>
      </c>
      <c r="AN67" s="705"/>
      <c r="AO67" s="705"/>
      <c r="AP67" s="705"/>
      <c r="AQ67" s="705"/>
      <c r="AR67" s="705"/>
      <c r="AS67" s="435"/>
      <c r="AT67" s="435"/>
      <c r="AU67" s="435"/>
      <c r="AV67" s="435"/>
      <c r="BA67" s="390"/>
      <c r="BB67" s="387"/>
      <c r="BC67" s="386"/>
    </row>
    <row r="68" spans="2:55">
      <c r="B68" s="361" t="s">
        <v>617</v>
      </c>
      <c r="C68" s="358"/>
      <c r="D68" s="358"/>
      <c r="E68" s="633" t="e">
        <f t="shared" ref="E68:U68" si="60">SUM(E64:E67)/0.94*0.06</f>
        <v>#REF!</v>
      </c>
      <c r="F68" s="633">
        <f>SUM(F64:F67)/0.94*0.06</f>
        <v>5499885.7699657455</v>
      </c>
      <c r="G68" s="633">
        <f t="shared" si="60"/>
        <v>4522883.6434669569</v>
      </c>
      <c r="H68" s="633">
        <f t="shared" si="60"/>
        <v>4134011.7664622418</v>
      </c>
      <c r="I68" s="633">
        <f t="shared" si="60"/>
        <v>3742457.1313751857</v>
      </c>
      <c r="J68" s="633">
        <f t="shared" si="60"/>
        <v>5982860.3383736704</v>
      </c>
      <c r="K68" s="694">
        <f>SUM(K64:K67)/0.94*0.06</f>
        <v>4992037.0323097054</v>
      </c>
      <c r="L68" s="694">
        <f>SUM(L64:L67)/0.94*0.06</f>
        <v>4546243.8305248553</v>
      </c>
      <c r="M68" s="694">
        <f>SUM(M64:M67)/0.94*0.06</f>
        <v>4148670.8148923051</v>
      </c>
      <c r="N68" s="694">
        <f t="shared" si="60"/>
        <v>5782767.325371935</v>
      </c>
      <c r="O68" s="694">
        <f t="shared" ref="O68" si="61">SUM(O64:O67)/0.94*0.06</f>
        <v>4609477.1485013105</v>
      </c>
      <c r="P68" s="634">
        <f t="shared" si="60"/>
        <v>4092754.0291058635</v>
      </c>
      <c r="Q68" s="634">
        <f t="shared" si="60"/>
        <v>3639812.0980016799</v>
      </c>
      <c r="R68" s="916">
        <f t="shared" si="60"/>
        <v>5809208.1995652309</v>
      </c>
      <c r="S68" s="916">
        <f t="shared" si="60"/>
        <v>4664552.7959246617</v>
      </c>
      <c r="T68" s="916">
        <f t="shared" si="60"/>
        <v>4151162.9319593399</v>
      </c>
      <c r="U68" s="917">
        <f t="shared" si="60"/>
        <v>3745510.2956930296</v>
      </c>
      <c r="AN68" s="705"/>
      <c r="AO68" s="705"/>
      <c r="AP68" s="705"/>
      <c r="AQ68" s="705"/>
      <c r="AR68" s="705"/>
      <c r="AS68" s="435"/>
      <c r="AT68" s="435"/>
      <c r="AU68" s="435"/>
      <c r="AV68" s="435"/>
      <c r="BA68" s="390"/>
      <c r="BB68" s="387"/>
      <c r="BC68" s="386"/>
    </row>
    <row r="69" spans="2:55">
      <c r="B69" s="362" t="s">
        <v>1239</v>
      </c>
      <c r="C69" s="358"/>
      <c r="D69" s="456"/>
      <c r="E69" s="422"/>
      <c r="F69" s="422">
        <f>$AD64*$AF64*AI64</f>
        <v>0</v>
      </c>
      <c r="G69" s="422">
        <f t="shared" ref="G69:U69" si="62">$AD64*$AF64*AJ64</f>
        <v>0</v>
      </c>
      <c r="H69" s="422">
        <f t="shared" si="62"/>
        <v>0</v>
      </c>
      <c r="I69" s="422">
        <f t="shared" si="62"/>
        <v>0</v>
      </c>
      <c r="J69" s="422">
        <f t="shared" si="62"/>
        <v>0</v>
      </c>
      <c r="K69" s="422">
        <f t="shared" si="62"/>
        <v>0</v>
      </c>
      <c r="L69" s="422">
        <f t="shared" si="62"/>
        <v>0</v>
      </c>
      <c r="M69" s="422">
        <f t="shared" si="62"/>
        <v>0</v>
      </c>
      <c r="N69" s="422">
        <f t="shared" si="62"/>
        <v>0</v>
      </c>
      <c r="O69" s="422">
        <f t="shared" si="62"/>
        <v>0</v>
      </c>
      <c r="P69" s="422">
        <f t="shared" si="62"/>
        <v>0</v>
      </c>
      <c r="Q69" s="422">
        <f t="shared" si="62"/>
        <v>0</v>
      </c>
      <c r="R69" s="900">
        <f t="shared" si="62"/>
        <v>0</v>
      </c>
      <c r="S69" s="900">
        <f t="shared" si="62"/>
        <v>0</v>
      </c>
      <c r="T69" s="900">
        <f t="shared" si="62"/>
        <v>0</v>
      </c>
      <c r="U69" s="900">
        <f t="shared" si="62"/>
        <v>0</v>
      </c>
      <c r="AN69" s="705"/>
      <c r="AO69" s="705"/>
      <c r="AP69" s="705"/>
      <c r="AQ69" s="705"/>
      <c r="AR69" s="705"/>
      <c r="AS69" s="435"/>
      <c r="AT69" s="435"/>
      <c r="AU69" s="435"/>
      <c r="AV69" s="435"/>
      <c r="BA69" s="390"/>
      <c r="BB69" s="387"/>
      <c r="BC69" s="386"/>
    </row>
    <row r="70" spans="2:55">
      <c r="B70" s="467"/>
      <c r="C70" s="472"/>
      <c r="D70" s="469"/>
      <c r="E70" s="470"/>
      <c r="F70" s="470"/>
      <c r="G70" s="470"/>
      <c r="H70" s="470"/>
      <c r="I70" s="470"/>
      <c r="J70" s="470"/>
      <c r="K70" s="470"/>
      <c r="L70" s="470"/>
      <c r="M70" s="470"/>
      <c r="N70" s="695"/>
      <c r="O70" s="695"/>
      <c r="P70" s="551"/>
      <c r="Q70" s="551"/>
      <c r="R70" s="918"/>
      <c r="S70" s="918"/>
      <c r="T70" s="909"/>
      <c r="U70" s="910"/>
      <c r="AN70" s="705"/>
      <c r="AO70" s="705"/>
      <c r="AP70" s="705"/>
      <c r="AQ70" s="705"/>
      <c r="AR70" s="705"/>
      <c r="AS70" s="403">
        <f>AS74/8000</f>
        <v>0</v>
      </c>
      <c r="AT70" s="435"/>
      <c r="AU70" s="403">
        <v>18.943977465359534</v>
      </c>
      <c r="AV70" s="403">
        <v>0.85601968331884803</v>
      </c>
      <c r="BA70" s="390"/>
      <c r="BB70" s="387"/>
      <c r="BC70" s="386"/>
    </row>
    <row r="71" spans="2:55" ht="17.25" thickBot="1">
      <c r="B71" s="464" t="s">
        <v>890</v>
      </c>
      <c r="C71" s="473"/>
      <c r="D71" s="473"/>
      <c r="E71" s="465" t="e">
        <f t="shared" ref="E71:O71" si="63">E39+E37</f>
        <v>#REF!</v>
      </c>
      <c r="F71" s="465">
        <f t="shared" si="63"/>
        <v>2106755641.8745542</v>
      </c>
      <c r="G71" s="465">
        <f t="shared" si="63"/>
        <v>1666450098.6821551</v>
      </c>
      <c r="H71" s="465">
        <f t="shared" si="63"/>
        <v>1441084313.295634</v>
      </c>
      <c r="I71" s="465">
        <f t="shared" si="63"/>
        <v>1315463112.1790709</v>
      </c>
      <c r="J71" s="465">
        <f t="shared" si="63"/>
        <v>2285465390.8691349</v>
      </c>
      <c r="K71" s="696">
        <f t="shared" si="63"/>
        <v>1824864898.7682984</v>
      </c>
      <c r="L71" s="696">
        <f t="shared" si="63"/>
        <v>1574775900.2168264</v>
      </c>
      <c r="M71" s="696">
        <f t="shared" si="63"/>
        <v>1436348288.5267766</v>
      </c>
      <c r="N71" s="696">
        <f t="shared" si="63"/>
        <v>2698931319.1175323</v>
      </c>
      <c r="O71" s="696">
        <f t="shared" si="63"/>
        <v>2125832643.5717058</v>
      </c>
      <c r="P71" s="552">
        <f>P39+P37</f>
        <v>1805866816.6030321</v>
      </c>
      <c r="Q71" s="552">
        <f>Q39+Q37</f>
        <v>1626432341.9993982</v>
      </c>
      <c r="R71" s="919">
        <f>R39+R37</f>
        <v>2704818216.5603614</v>
      </c>
      <c r="S71" s="919">
        <f>S39+S37</f>
        <v>2139057830.5371318</v>
      </c>
      <c r="T71" s="919">
        <f t="shared" ref="T71:U71" si="64">T39+T37</f>
        <v>1819771615.7815299</v>
      </c>
      <c r="U71" s="920">
        <f t="shared" si="64"/>
        <v>1653254044.250412</v>
      </c>
      <c r="AN71" s="705"/>
      <c r="AO71" s="705"/>
      <c r="AP71" s="705"/>
      <c r="AQ71" s="705"/>
      <c r="AR71" s="705"/>
      <c r="AS71" s="435"/>
      <c r="AT71" s="435"/>
      <c r="AU71" s="403">
        <f>AL73/45186903.5889714</f>
        <v>19.807233477424244</v>
      </c>
      <c r="AV71" s="403">
        <f>AL73/1000000000</f>
        <v>0.89502754950861596</v>
      </c>
      <c r="BA71" s="390"/>
      <c r="BB71" s="387"/>
      <c r="BC71" s="386"/>
    </row>
    <row r="72" spans="2:55">
      <c r="B72" s="467" t="s">
        <v>622</v>
      </c>
      <c r="C72" s="468"/>
      <c r="D72" s="469" t="s">
        <v>683</v>
      </c>
      <c r="E72" s="470" t="e">
        <f>E71-SUM(E73:E82)</f>
        <v>#REF!</v>
      </c>
      <c r="F72" s="470">
        <f t="shared" ref="F72:S72" si="65">F71-SUM(F73:F82)</f>
        <v>1381980725.2557509</v>
      </c>
      <c r="G72" s="470">
        <f t="shared" si="65"/>
        <v>881803290.54289532</v>
      </c>
      <c r="H72" s="470">
        <f t="shared" si="65"/>
        <v>607063067.02768862</v>
      </c>
      <c r="I72" s="470">
        <f t="shared" si="65"/>
        <v>415252901.62339354</v>
      </c>
      <c r="J72" s="470">
        <f t="shared" si="65"/>
        <v>1412036844.2972775</v>
      </c>
      <c r="K72" s="695">
        <f>K71-SUM(K73:K82)</f>
        <v>912191065.88977039</v>
      </c>
      <c r="L72" s="695">
        <f>L71-SUM(L73:L82)</f>
        <v>631440298.59901118</v>
      </c>
      <c r="M72" s="695">
        <f>M71-SUM(M73:M82)</f>
        <v>435493088.1628269</v>
      </c>
      <c r="N72" s="695">
        <f>N71-SUM(N73:N82)</f>
        <v>1967794913.5762038</v>
      </c>
      <c r="O72" s="695">
        <f>O71-SUM(O73:O82)</f>
        <v>1326311893.5870976</v>
      </c>
      <c r="P72" s="551">
        <f t="shared" si="65"/>
        <v>955301589.43279171</v>
      </c>
      <c r="Q72" s="551">
        <f t="shared" si="65"/>
        <v>715870593.36377192</v>
      </c>
      <c r="R72" s="918">
        <f t="shared" si="65"/>
        <v>1969468432.5501118</v>
      </c>
      <c r="S72" s="918">
        <f t="shared" si="65"/>
        <v>1329230933.561831</v>
      </c>
      <c r="T72" s="918">
        <f t="shared" ref="T72:U72" si="66">T71-SUM(T73:T82)</f>
        <v>958127632.80754304</v>
      </c>
      <c r="U72" s="921">
        <f t="shared" si="66"/>
        <v>725194164.47890818</v>
      </c>
      <c r="AC72" s="733" t="s">
        <v>877</v>
      </c>
      <c r="AD72" s="734" t="s">
        <v>872</v>
      </c>
      <c r="AE72" s="734" t="s">
        <v>650</v>
      </c>
      <c r="AF72" s="735" t="s">
        <v>663</v>
      </c>
      <c r="AG72" s="319" t="s">
        <v>651</v>
      </c>
      <c r="AH72" s="319" t="s">
        <v>773</v>
      </c>
      <c r="AI72" s="315" t="s">
        <v>1147</v>
      </c>
      <c r="AJ72" s="315" t="s">
        <v>1148</v>
      </c>
      <c r="AK72" s="315" t="s">
        <v>1149</v>
      </c>
      <c r="AL72" s="315" t="s">
        <v>1150</v>
      </c>
      <c r="AM72" s="841" t="s">
        <v>1164</v>
      </c>
      <c r="AN72" s="842" t="s">
        <v>1166</v>
      </c>
      <c r="AO72" s="842" t="s">
        <v>1167</v>
      </c>
      <c r="AP72" s="842" t="s">
        <v>1168</v>
      </c>
      <c r="AQ72" s="843" t="s">
        <v>1172</v>
      </c>
      <c r="AR72" s="843" t="s">
        <v>1174</v>
      </c>
      <c r="AS72" s="844" t="s">
        <v>1176</v>
      </c>
      <c r="AT72" s="844" t="s">
        <v>1178</v>
      </c>
      <c r="AU72" s="845" t="s">
        <v>1180</v>
      </c>
      <c r="AV72" s="845" t="s">
        <v>1182</v>
      </c>
      <c r="AW72" s="845" t="s">
        <v>1184</v>
      </c>
      <c r="AX72" s="845" t="s">
        <v>1186</v>
      </c>
      <c r="BA72" s="390"/>
      <c r="BB72" s="387"/>
      <c r="BC72" s="386"/>
    </row>
    <row r="73" spans="2:55">
      <c r="B73" s="467" t="s">
        <v>629</v>
      </c>
      <c r="C73" s="468"/>
      <c r="D73" s="469" t="s">
        <v>683</v>
      </c>
      <c r="E73" s="470">
        <f t="shared" ref="E73:E82" si="67">$AD74*$AF74*AH74</f>
        <v>0</v>
      </c>
      <c r="F73" s="470">
        <f t="shared" ref="F73:F82" si="68">$AD74*$AF74*AI74</f>
        <v>0</v>
      </c>
      <c r="G73" s="470">
        <f t="shared" ref="G73:G82" si="69">$AD74*$AF74*AJ74</f>
        <v>0</v>
      </c>
      <c r="H73" s="470">
        <f t="shared" ref="H73:H82" si="70">$AD74*$AF74*AK74</f>
        <v>0</v>
      </c>
      <c r="I73" s="470">
        <f t="shared" ref="I73:I82" si="71">$AD74*$AF74*AL74</f>
        <v>0</v>
      </c>
      <c r="J73" s="470">
        <f t="shared" ref="J73:J82" si="72">$AD74*$AF74*AM74</f>
        <v>0</v>
      </c>
      <c r="K73" s="695">
        <f t="shared" ref="K73:K82" si="73">$AD74*$AF74*AN74</f>
        <v>0</v>
      </c>
      <c r="L73" s="695">
        <f t="shared" ref="L73:L82" si="74">$AD74*$AF74*AO74</f>
        <v>0</v>
      </c>
      <c r="M73" s="695">
        <f t="shared" ref="M73:M82" si="75">$AD74*$AF74*AP74</f>
        <v>0</v>
      </c>
      <c r="N73" s="695">
        <f t="shared" ref="N73:O82" si="76">$AD74*$AF74*AQ74</f>
        <v>0</v>
      </c>
      <c r="O73" s="695">
        <f t="shared" si="76"/>
        <v>0</v>
      </c>
      <c r="P73" s="551">
        <f t="shared" ref="P73:P82" si="77">$AD74*$AF74*AS74</f>
        <v>0</v>
      </c>
      <c r="Q73" s="551">
        <f t="shared" ref="Q73:Q82" si="78">$AD74*$AF74*AT74</f>
        <v>0</v>
      </c>
      <c r="R73" s="918">
        <f t="shared" ref="R73:R82" si="79">$AD74*$AF74*AU74</f>
        <v>0</v>
      </c>
      <c r="S73" s="918">
        <f t="shared" ref="S73:S82" si="80">$AD74*$AF74*AV74</f>
        <v>0</v>
      </c>
      <c r="T73" s="918">
        <f t="shared" ref="T73:U82" si="81">$AD74*$AF74*AW74</f>
        <v>0</v>
      </c>
      <c r="U73" s="921">
        <f t="shared" si="81"/>
        <v>0</v>
      </c>
      <c r="AC73" s="235" t="s">
        <v>622</v>
      </c>
      <c r="AD73" s="736" t="s">
        <v>853</v>
      </c>
      <c r="AE73" s="358" t="s">
        <v>664</v>
      </c>
      <c r="AF73" s="737">
        <v>1</v>
      </c>
      <c r="AG73" s="523" t="s">
        <v>885</v>
      </c>
      <c r="AH73" s="524">
        <f>'3. CEF &amp; EEF'!D20*8000</f>
        <v>486941333.18155122</v>
      </c>
      <c r="AI73" s="524">
        <f>'4-1. UPC &amp; NCE(Grid)'!AF54</f>
        <v>1160896180.2469041</v>
      </c>
      <c r="AJ73" s="524">
        <f>'4-1. UPC &amp; NCE(Grid)'!AG54</f>
        <v>1067900644.830296</v>
      </c>
      <c r="AK73" s="524">
        <f>'4-1. UPC &amp; NCE(Grid)'!AH54</f>
        <v>1002650848.95968</v>
      </c>
      <c r="AL73" s="524">
        <f>'4-1. UPC &amp; NCE(Grid)'!AI54</f>
        <v>895027549.50861597</v>
      </c>
      <c r="AM73" s="524">
        <f>'4-1. UPC &amp; NCE(Grid)'!AJ54</f>
        <v>1160896180.2469041</v>
      </c>
      <c r="AN73" s="524">
        <f>'4-1. UPC &amp; NCE(Grid)'!AK54</f>
        <v>1067900644.830296</v>
      </c>
      <c r="AO73" s="524">
        <f>'4-1. UPC &amp; NCE(Grid)'!AL54</f>
        <v>1002650848.95968</v>
      </c>
      <c r="AP73" s="524">
        <f>'4-1. UPC &amp; NCE(Grid)'!AM54</f>
        <v>895027549.50861597</v>
      </c>
      <c r="AQ73" s="524">
        <f>'4-1. UPC &amp; NCE(Grid)'!AN54</f>
        <v>1160804537.0580318</v>
      </c>
      <c r="AR73" s="524">
        <f>'4-1. UPC &amp; NCE(Grid)'!AO54</f>
        <v>1067543665.3682401</v>
      </c>
      <c r="AS73" s="524">
        <f>'4-1. UPC &amp; NCE(Grid)'!AP54</f>
        <v>1002590209.62112</v>
      </c>
      <c r="AT73" s="524">
        <f>'4-1. UPC &amp; NCE(Grid)'!AQ54</f>
        <v>908839447.00947189</v>
      </c>
      <c r="AU73" s="524">
        <f>'4-1. UPC &amp; NCE(Grid)'!AR54</f>
        <v>1160804537.0580318</v>
      </c>
      <c r="AV73" s="524">
        <f>'4-1. UPC &amp; NCE(Grid)'!AS54</f>
        <v>1067543665.3682401</v>
      </c>
      <c r="AW73" s="524">
        <f>'4-1. UPC &amp; NCE(Grid)'!AT54</f>
        <v>1002590209.62112</v>
      </c>
      <c r="AX73" s="524">
        <f>'4-1. UPC &amp; NCE(Grid)'!AU54</f>
        <v>908839447.00947189</v>
      </c>
      <c r="BA73" s="390"/>
      <c r="BB73" s="387"/>
      <c r="BC73" s="386"/>
    </row>
    <row r="74" spans="2:55">
      <c r="B74" s="567" t="s">
        <v>1030</v>
      </c>
      <c r="C74" s="468"/>
      <c r="D74" s="469" t="s">
        <v>683</v>
      </c>
      <c r="E74" s="470">
        <f t="shared" si="67"/>
        <v>656555051.72324729</v>
      </c>
      <c r="F74" s="470">
        <f t="shared" si="68"/>
        <v>630815581.89174747</v>
      </c>
      <c r="G74" s="470">
        <f t="shared" si="69"/>
        <v>664190564.01506937</v>
      </c>
      <c r="H74" s="470">
        <f t="shared" si="70"/>
        <v>681860823.60615337</v>
      </c>
      <c r="I74" s="470">
        <f t="shared" si="71"/>
        <v>714952611.50459826</v>
      </c>
      <c r="J74" s="470">
        <f t="shared" si="72"/>
        <v>630815581.89174747</v>
      </c>
      <c r="K74" s="695">
        <f t="shared" si="73"/>
        <v>664190564.01506937</v>
      </c>
      <c r="L74" s="695">
        <f t="shared" si="74"/>
        <v>681860823.60615337</v>
      </c>
      <c r="M74" s="695">
        <f t="shared" si="75"/>
        <v>714952611.50459826</v>
      </c>
      <c r="N74" s="695">
        <f t="shared" si="76"/>
        <v>637185656.99145031</v>
      </c>
      <c r="O74" s="695">
        <f t="shared" si="76"/>
        <v>679114577.5908221</v>
      </c>
      <c r="P74" s="551">
        <f t="shared" si="77"/>
        <v>698418352.81587827</v>
      </c>
      <c r="Q74" s="551">
        <f t="shared" si="78"/>
        <v>719423179.78398907</v>
      </c>
      <c r="R74" s="918">
        <f t="shared" si="79"/>
        <v>637185656.99145031</v>
      </c>
      <c r="S74" s="918">
        <f t="shared" si="80"/>
        <v>679114577.5908221</v>
      </c>
      <c r="T74" s="918">
        <f t="shared" si="81"/>
        <v>698418352.81587827</v>
      </c>
      <c r="U74" s="921">
        <f t="shared" si="81"/>
        <v>719423179.78398907</v>
      </c>
      <c r="AC74" s="235" t="s">
        <v>629</v>
      </c>
      <c r="AD74" s="738">
        <v>1.4239999999999999</v>
      </c>
      <c r="AE74" s="358" t="s">
        <v>664</v>
      </c>
      <c r="AF74" s="737">
        <v>1</v>
      </c>
      <c r="AG74" s="523" t="s">
        <v>885</v>
      </c>
      <c r="AH74" s="524">
        <v>0</v>
      </c>
      <c r="AI74" s="524">
        <f>'4-1. UPC &amp; NCE(Grid)'!AF55</f>
        <v>0</v>
      </c>
      <c r="AJ74" s="524">
        <f>'4-1. UPC &amp; NCE(Grid)'!AG55</f>
        <v>0</v>
      </c>
      <c r="AK74" s="524">
        <f>'4-1. UPC &amp; NCE(Grid)'!AH55</f>
        <v>0</v>
      </c>
      <c r="AL74" s="524">
        <f>'4-1. UPC &amp; NCE(Grid)'!AI55</f>
        <v>0</v>
      </c>
      <c r="AM74" s="524">
        <f>'4-1. UPC &amp; NCE(Grid)'!AJ55</f>
        <v>0</v>
      </c>
      <c r="AN74" s="524">
        <f>'4-1. UPC &amp; NCE(Grid)'!AK55</f>
        <v>0</v>
      </c>
      <c r="AO74" s="524">
        <f>'4-1. UPC &amp; NCE(Grid)'!AL55</f>
        <v>0</v>
      </c>
      <c r="AP74" s="524">
        <f>'4-1. UPC &amp; NCE(Grid)'!AM55</f>
        <v>0</v>
      </c>
      <c r="AQ74" s="524">
        <f>'4-1. UPC &amp; NCE(Grid)'!AN55</f>
        <v>0</v>
      </c>
      <c r="AR74" s="524">
        <f>'4-1. UPC &amp; NCE(Grid)'!AO55</f>
        <v>0</v>
      </c>
      <c r="AS74" s="524">
        <f>'4-1. UPC &amp; NCE(Grid)'!AP55</f>
        <v>0</v>
      </c>
      <c r="AT74" s="524">
        <f>'4-1. UPC &amp; NCE(Grid)'!AQ55</f>
        <v>0</v>
      </c>
      <c r="AU74" s="524">
        <f>'4-1. UPC &amp; NCE(Grid)'!AR55</f>
        <v>0</v>
      </c>
      <c r="AV74" s="524">
        <f>'4-1. UPC &amp; NCE(Grid)'!AS55</f>
        <v>0</v>
      </c>
      <c r="AW74" s="524">
        <f>'4-1. UPC &amp; NCE(Grid)'!AT55</f>
        <v>0</v>
      </c>
      <c r="AX74" s="524">
        <f>'4-1. UPC &amp; NCE(Grid)'!AU55</f>
        <v>0</v>
      </c>
      <c r="BA74" s="390"/>
      <c r="BB74" s="387"/>
      <c r="BC74" s="386"/>
    </row>
    <row r="75" spans="2:55">
      <c r="B75" s="467" t="s">
        <v>688</v>
      </c>
      <c r="C75" s="468"/>
      <c r="D75" s="469" t="s">
        <v>683</v>
      </c>
      <c r="E75" s="470">
        <f t="shared" si="67"/>
        <v>16633321.751775734</v>
      </c>
      <c r="F75" s="470">
        <f t="shared" si="68"/>
        <v>6323774.6472003823</v>
      </c>
      <c r="G75" s="470">
        <f t="shared" si="69"/>
        <v>10584403.166748114</v>
      </c>
      <c r="H75" s="470">
        <f t="shared" si="70"/>
        <v>16504909.01640325</v>
      </c>
      <c r="I75" s="470">
        <f t="shared" si="71"/>
        <v>23452578.913891166</v>
      </c>
      <c r="J75" s="470">
        <f t="shared" si="72"/>
        <v>6323774.6472003823</v>
      </c>
      <c r="K75" s="695">
        <f t="shared" si="73"/>
        <v>10584403.166748114</v>
      </c>
      <c r="L75" s="695">
        <f t="shared" si="74"/>
        <v>16504909.01640325</v>
      </c>
      <c r="M75" s="695">
        <f t="shared" si="75"/>
        <v>23452578.913891166</v>
      </c>
      <c r="N75" s="695">
        <f t="shared" si="76"/>
        <v>6322916.4819606263</v>
      </c>
      <c r="O75" s="695">
        <f t="shared" si="76"/>
        <v>10579306.725305272</v>
      </c>
      <c r="P75" s="551">
        <f t="shared" si="77"/>
        <v>16499972.637837995</v>
      </c>
      <c r="Q75" s="551">
        <f t="shared" si="78"/>
        <v>23453978.881747302</v>
      </c>
      <c r="R75" s="918">
        <f t="shared" si="79"/>
        <v>6322916.4819606263</v>
      </c>
      <c r="S75" s="918">
        <f t="shared" si="80"/>
        <v>10579306.725305272</v>
      </c>
      <c r="T75" s="918">
        <f t="shared" si="81"/>
        <v>16499972.637837995</v>
      </c>
      <c r="U75" s="921">
        <f t="shared" si="81"/>
        <v>23453978.881747302</v>
      </c>
      <c r="AC75" s="235" t="s">
        <v>1030</v>
      </c>
      <c r="AD75" s="738">
        <v>2.7</v>
      </c>
      <c r="AE75" s="358" t="s">
        <v>664</v>
      </c>
      <c r="AF75" s="737">
        <v>1</v>
      </c>
      <c r="AG75" s="523" t="s">
        <v>885</v>
      </c>
      <c r="AH75" s="524">
        <f>'3. CEF &amp; EEF'!D21*8000</f>
        <v>243168537.67527676</v>
      </c>
      <c r="AI75" s="524">
        <f>'4-1. UPC &amp; NCE(Grid)'!AF56</f>
        <v>233635400.70064721</v>
      </c>
      <c r="AJ75" s="524">
        <f>'4-1. UPC &amp; NCE(Grid)'!AG56</f>
        <v>245996505.19076639</v>
      </c>
      <c r="AK75" s="524">
        <f>'4-1. UPC &amp; NCE(Grid)'!AH56</f>
        <v>252541045.7800568</v>
      </c>
      <c r="AL75" s="524">
        <f>'4-1. UPC &amp; NCE(Grid)'!AI56</f>
        <v>264797263.52022156</v>
      </c>
      <c r="AM75" s="524">
        <f>'4-1. UPC &amp; NCE(Grid)'!AJ56</f>
        <v>233635400.70064721</v>
      </c>
      <c r="AN75" s="524">
        <f>'4-1. UPC &amp; NCE(Grid)'!AK56</f>
        <v>245996505.19076639</v>
      </c>
      <c r="AO75" s="524">
        <f>'4-1. UPC &amp; NCE(Grid)'!AL56</f>
        <v>252541045.7800568</v>
      </c>
      <c r="AP75" s="524">
        <f>'4-1. UPC &amp; NCE(Grid)'!AM56</f>
        <v>264797263.52022156</v>
      </c>
      <c r="AQ75" s="524">
        <f>'4-1. UPC &amp; NCE(Grid)'!AN56</f>
        <v>235994687.7746112</v>
      </c>
      <c r="AR75" s="524">
        <f>'4-1. UPC &amp; NCE(Grid)'!AO56</f>
        <v>251523917.62623039</v>
      </c>
      <c r="AS75" s="524">
        <f>'4-1. UPC &amp; NCE(Grid)'!AP56</f>
        <v>258673464.0058808</v>
      </c>
      <c r="AT75" s="524">
        <f>'4-1. UPC &amp; NCE(Grid)'!AQ56</f>
        <v>266453029.54962558</v>
      </c>
      <c r="AU75" s="524">
        <f>'4-1. UPC &amp; NCE(Grid)'!AR56</f>
        <v>235994687.7746112</v>
      </c>
      <c r="AV75" s="524">
        <f>'4-1. UPC &amp; NCE(Grid)'!AS56</f>
        <v>251523917.62623039</v>
      </c>
      <c r="AW75" s="524">
        <f>'4-1. UPC &amp; NCE(Grid)'!AT56</f>
        <v>258673464.0058808</v>
      </c>
      <c r="AX75" s="524">
        <f>'4-1. UPC &amp; NCE(Grid)'!AU56</f>
        <v>266453029.54962558</v>
      </c>
      <c r="BA75" s="390"/>
      <c r="BB75" s="387"/>
      <c r="BC75" s="386"/>
    </row>
    <row r="76" spans="2:55">
      <c r="B76" s="467" t="s">
        <v>625</v>
      </c>
      <c r="C76" s="468"/>
      <c r="D76" s="469" t="s">
        <v>683</v>
      </c>
      <c r="E76" s="470">
        <f t="shared" si="67"/>
        <v>57234671.314766191</v>
      </c>
      <c r="F76" s="470">
        <f t="shared" si="68"/>
        <v>68085756.194289759</v>
      </c>
      <c r="G76" s="470">
        <f t="shared" si="69"/>
        <v>94874526.926663905</v>
      </c>
      <c r="H76" s="470">
        <f t="shared" si="70"/>
        <v>120998678.79972346</v>
      </c>
      <c r="I76" s="470">
        <f t="shared" si="71"/>
        <v>151617631.71098673</v>
      </c>
      <c r="J76" s="470">
        <f t="shared" si="72"/>
        <v>68085756.194289759</v>
      </c>
      <c r="K76" s="695">
        <f t="shared" si="73"/>
        <v>94874526.926663905</v>
      </c>
      <c r="L76" s="695">
        <f t="shared" si="74"/>
        <v>120998678.79972346</v>
      </c>
      <c r="M76" s="695">
        <f t="shared" si="75"/>
        <v>151617631.71098673</v>
      </c>
      <c r="N76" s="695">
        <f t="shared" si="76"/>
        <v>68079195.951967984</v>
      </c>
      <c r="O76" s="695">
        <f t="shared" si="76"/>
        <v>94832333.056816176</v>
      </c>
      <c r="P76" s="551">
        <f t="shared" si="77"/>
        <v>120989872.78288741</v>
      </c>
      <c r="Q76" s="551">
        <f t="shared" si="78"/>
        <v>152315261.09005094</v>
      </c>
      <c r="R76" s="918">
        <f t="shared" si="79"/>
        <v>68079195.951967984</v>
      </c>
      <c r="S76" s="918">
        <f t="shared" si="80"/>
        <v>94832333.056816176</v>
      </c>
      <c r="T76" s="918">
        <f t="shared" si="81"/>
        <v>120989872.78288741</v>
      </c>
      <c r="U76" s="921">
        <f t="shared" si="81"/>
        <v>152315261.09005094</v>
      </c>
      <c r="AC76" s="235" t="s">
        <v>688</v>
      </c>
      <c r="AD76" s="738">
        <f>AD77*0.5/0.65</f>
        <v>0.48207230769230758</v>
      </c>
      <c r="AE76" s="358" t="s">
        <v>664</v>
      </c>
      <c r="AF76" s="737">
        <v>1</v>
      </c>
      <c r="AG76" s="523" t="s">
        <v>885</v>
      </c>
      <c r="AH76" s="524">
        <f>'3. CEF &amp; EEF'!D22*8000</f>
        <v>34503790.170814559</v>
      </c>
      <c r="AI76" s="524">
        <f>'4-1. UPC &amp; NCE(Grid)'!AF57</f>
        <v>13117896.51945048</v>
      </c>
      <c r="AJ76" s="524">
        <f>'4-1. UPC &amp; NCE(Grid)'!AG57</f>
        <v>21956048.911865361</v>
      </c>
      <c r="AK76" s="524">
        <f>'4-1. UPC &amp; NCE(Grid)'!AH57</f>
        <v>34237413.668112718</v>
      </c>
      <c r="AL76" s="524">
        <f>'4-1. UPC &amp; NCE(Grid)'!AI57</f>
        <v>48649504.523832239</v>
      </c>
      <c r="AM76" s="524">
        <f>'4-1. UPC &amp; NCE(Grid)'!AJ57</f>
        <v>13117896.51945048</v>
      </c>
      <c r="AN76" s="524">
        <f>'4-1. UPC &amp; NCE(Grid)'!AK57</f>
        <v>21956048.911865361</v>
      </c>
      <c r="AO76" s="524">
        <f>'4-1. UPC &amp; NCE(Grid)'!AL57</f>
        <v>34237413.668112718</v>
      </c>
      <c r="AP76" s="524">
        <f>'4-1. UPC &amp; NCE(Grid)'!AM57</f>
        <v>48649504.523832239</v>
      </c>
      <c r="AQ76" s="524">
        <f>'4-1. UPC &amp; NCE(Grid)'!AN57</f>
        <v>13116116.360694081</v>
      </c>
      <c r="AR76" s="524">
        <f>'4-1. UPC &amp; NCE(Grid)'!AO57</f>
        <v>21945476.96786128</v>
      </c>
      <c r="AS76" s="524">
        <f>'4-1. UPC &amp; NCE(Grid)'!AP57</f>
        <v>34227173.754957601</v>
      </c>
      <c r="AT76" s="524">
        <f>'4-1. UPC &amp; NCE(Grid)'!AQ57</f>
        <v>48652408.585803434</v>
      </c>
      <c r="AU76" s="524">
        <f>'4-1. UPC &amp; NCE(Grid)'!AR57</f>
        <v>13116116.360694081</v>
      </c>
      <c r="AV76" s="524">
        <f>'4-1. UPC &amp; NCE(Grid)'!AS57</f>
        <v>21945476.96786128</v>
      </c>
      <c r="AW76" s="524">
        <f>'4-1. UPC &amp; NCE(Grid)'!AT57</f>
        <v>34227173.754957601</v>
      </c>
      <c r="AX76" s="524">
        <f>'4-1. UPC &amp; NCE(Grid)'!AU57</f>
        <v>48652408.585803434</v>
      </c>
      <c r="BA76" s="390"/>
      <c r="BB76" s="387"/>
      <c r="BC76" s="386"/>
    </row>
    <row r="77" spans="2:55">
      <c r="B77" s="467" t="s">
        <v>779</v>
      </c>
      <c r="C77" s="472"/>
      <c r="D77" s="469" t="s">
        <v>683</v>
      </c>
      <c r="E77" s="470">
        <f t="shared" si="67"/>
        <v>0</v>
      </c>
      <c r="F77" s="470">
        <f t="shared" si="68"/>
        <v>19549803.885565616</v>
      </c>
      <c r="G77" s="470">
        <f t="shared" si="69"/>
        <v>14997314.030778449</v>
      </c>
      <c r="H77" s="470">
        <f t="shared" si="70"/>
        <v>14656834.845665378</v>
      </c>
      <c r="I77" s="470">
        <f t="shared" si="71"/>
        <v>10187388.426201172</v>
      </c>
      <c r="J77" s="470">
        <f t="shared" si="72"/>
        <v>19549803.885565616</v>
      </c>
      <c r="K77" s="695">
        <f t="shared" si="73"/>
        <v>14997314.030778449</v>
      </c>
      <c r="L77" s="695">
        <f t="shared" si="74"/>
        <v>14656834.845665378</v>
      </c>
      <c r="M77" s="695">
        <f t="shared" si="75"/>
        <v>10187388.426201172</v>
      </c>
      <c r="N77" s="695">
        <f t="shared" si="76"/>
        <v>19548636.115949411</v>
      </c>
      <c r="O77" s="695">
        <f t="shared" si="76"/>
        <v>14994532.611664489</v>
      </c>
      <c r="P77" s="551">
        <f t="shared" si="77"/>
        <v>14657028.933636656</v>
      </c>
      <c r="Q77" s="551">
        <f t="shared" si="78"/>
        <v>15369328.879839011</v>
      </c>
      <c r="R77" s="918">
        <f t="shared" si="79"/>
        <v>19548636.115949411</v>
      </c>
      <c r="S77" s="918">
        <f t="shared" si="80"/>
        <v>14994532.611664489</v>
      </c>
      <c r="T77" s="918">
        <f t="shared" si="81"/>
        <v>14657028.933636656</v>
      </c>
      <c r="U77" s="921">
        <f>$AD78*$AF78*AX78</f>
        <v>15369328.879839011</v>
      </c>
      <c r="AC77" s="235" t="s">
        <v>625</v>
      </c>
      <c r="AD77" s="738">
        <f>0.695*0.955-37.031/1000</f>
        <v>0.62669399999999986</v>
      </c>
      <c r="AE77" s="358" t="s">
        <v>664</v>
      </c>
      <c r="AF77" s="737">
        <v>1</v>
      </c>
      <c r="AG77" s="523" t="s">
        <v>885</v>
      </c>
      <c r="AH77" s="524">
        <f>'3. CEF &amp; EEF'!D23*8000</f>
        <v>91327938.858144805</v>
      </c>
      <c r="AI77" s="524">
        <f>'4-1. UPC &amp; NCE(Grid)'!AF58</f>
        <v>108642744.61585681</v>
      </c>
      <c r="AJ77" s="524">
        <f>'4-1. UPC &amp; NCE(Grid)'!AG58</f>
        <v>151388918.55780321</v>
      </c>
      <c r="AK77" s="524">
        <f>'4-1. UPC &amp; NCE(Grid)'!AH58</f>
        <v>193074576.7467432</v>
      </c>
      <c r="AL77" s="524">
        <f>'4-1. UPC &amp; NCE(Grid)'!AI58</f>
        <v>241932476.952048</v>
      </c>
      <c r="AM77" s="524">
        <f>'4-1. UPC &amp; NCE(Grid)'!AJ58</f>
        <v>108642744.61585681</v>
      </c>
      <c r="AN77" s="524">
        <f>'4-1. UPC &amp; NCE(Grid)'!AK58</f>
        <v>151388918.55780321</v>
      </c>
      <c r="AO77" s="524">
        <f>'4-1. UPC &amp; NCE(Grid)'!AL58</f>
        <v>193074576.7467432</v>
      </c>
      <c r="AP77" s="524">
        <f>'4-1. UPC &amp; NCE(Grid)'!AM58</f>
        <v>241932476.952048</v>
      </c>
      <c r="AQ77" s="524">
        <f>'4-1. UPC &amp; NCE(Grid)'!AN58</f>
        <v>108632276.6006504</v>
      </c>
      <c r="AR77" s="524">
        <f>'4-1. UPC &amp; NCE(Grid)'!AO58</f>
        <v>151321590.85106319</v>
      </c>
      <c r="AS77" s="524">
        <f>'4-1. UPC &amp; NCE(Grid)'!AP58</f>
        <v>193060525.20510399</v>
      </c>
      <c r="AT77" s="524">
        <f>'4-1. UPC &amp; NCE(Grid)'!AQ58</f>
        <v>243045666.76887119</v>
      </c>
      <c r="AU77" s="524">
        <f>'4-1. UPC &amp; NCE(Grid)'!AR58</f>
        <v>108632276.6006504</v>
      </c>
      <c r="AV77" s="524">
        <f>'4-1. UPC &amp; NCE(Grid)'!AS58</f>
        <v>151321590.85106319</v>
      </c>
      <c r="AW77" s="524">
        <f>'4-1. UPC &amp; NCE(Grid)'!AT58</f>
        <v>193060525.20510399</v>
      </c>
      <c r="AX77" s="524">
        <f>'4-1. UPC &amp; NCE(Grid)'!AU58</f>
        <v>243045666.76887119</v>
      </c>
      <c r="BA77" s="390"/>
      <c r="BB77" s="387"/>
      <c r="BC77" s="386"/>
    </row>
    <row r="78" spans="2:55">
      <c r="B78" s="467" t="s">
        <v>719</v>
      </c>
      <c r="C78" s="468"/>
      <c r="D78" s="469" t="s">
        <v>683</v>
      </c>
      <c r="E78" s="470">
        <f t="shared" si="67"/>
        <v>351575280.12448704</v>
      </c>
      <c r="F78" s="470">
        <f t="shared" si="68"/>
        <v>0</v>
      </c>
      <c r="G78" s="470">
        <f t="shared" si="69"/>
        <v>0</v>
      </c>
      <c r="H78" s="470">
        <f t="shared" si="70"/>
        <v>0</v>
      </c>
      <c r="I78" s="470">
        <f t="shared" si="71"/>
        <v>0</v>
      </c>
      <c r="J78" s="470">
        <f t="shared" si="72"/>
        <v>0</v>
      </c>
      <c r="K78" s="695">
        <f t="shared" si="73"/>
        <v>0</v>
      </c>
      <c r="L78" s="695">
        <f t="shared" si="74"/>
        <v>0</v>
      </c>
      <c r="M78" s="695">
        <f t="shared" si="75"/>
        <v>0</v>
      </c>
      <c r="N78" s="695">
        <f t="shared" si="76"/>
        <v>0</v>
      </c>
      <c r="O78" s="695">
        <f t="shared" si="76"/>
        <v>0</v>
      </c>
      <c r="P78" s="551">
        <f t="shared" si="77"/>
        <v>0</v>
      </c>
      <c r="Q78" s="551">
        <f t="shared" si="78"/>
        <v>0</v>
      </c>
      <c r="R78" s="918">
        <f t="shared" si="79"/>
        <v>0</v>
      </c>
      <c r="S78" s="918">
        <f t="shared" si="80"/>
        <v>0</v>
      </c>
      <c r="T78" s="918">
        <f t="shared" si="81"/>
        <v>0</v>
      </c>
      <c r="U78" s="921">
        <f t="shared" si="81"/>
        <v>0</v>
      </c>
      <c r="AC78" s="725" t="s">
        <v>886</v>
      </c>
      <c r="AD78" s="738">
        <f>(8.7/100/0.45359237)*0.85</f>
        <v>0.16303184288571695</v>
      </c>
      <c r="AE78" s="358" t="s">
        <v>664</v>
      </c>
      <c r="AF78" s="737">
        <v>1</v>
      </c>
      <c r="AG78" s="523" t="s">
        <v>885</v>
      </c>
      <c r="AH78" s="524">
        <f>'3. CEF &amp; EEF'!D24*8000</f>
        <v>0</v>
      </c>
      <c r="AI78" s="524">
        <f>'4-1. UPC &amp; NCE(Grid)'!AF59</f>
        <v>119914021.3318312</v>
      </c>
      <c r="AJ78" s="524">
        <f>'4-1. UPC &amp; NCE(Grid)'!AG59</f>
        <v>91990090.802637592</v>
      </c>
      <c r="AK78" s="524">
        <f>'4-1. UPC &amp; NCE(Grid)'!AH59</f>
        <v>89901669.429938391</v>
      </c>
      <c r="AL78" s="524">
        <f>'4-1. UPC &amp; NCE(Grid)'!AI59</f>
        <v>62487108.321178637</v>
      </c>
      <c r="AM78" s="524">
        <f>'4-1. UPC &amp; NCE(Grid)'!AJ59</f>
        <v>119914021.3318312</v>
      </c>
      <c r="AN78" s="524">
        <f>'4-1. UPC &amp; NCE(Grid)'!AK59</f>
        <v>91990090.802637592</v>
      </c>
      <c r="AO78" s="524">
        <f>'4-1. UPC &amp; NCE(Grid)'!AL59</f>
        <v>89901669.429938391</v>
      </c>
      <c r="AP78" s="524">
        <f>'4-1. UPC &amp; NCE(Grid)'!AM59</f>
        <v>62487108.321178637</v>
      </c>
      <c r="AQ78" s="524">
        <f>'4-1. UPC &amp; NCE(Grid)'!AN59</f>
        <v>119906858.5003528</v>
      </c>
      <c r="AR78" s="524">
        <f>'4-1. UPC &amp; NCE(Grid)'!AO59</f>
        <v>91973030.21456641</v>
      </c>
      <c r="AS78" s="524">
        <f>'4-1. UPC &amp; NCE(Grid)'!AP59</f>
        <v>89902859.921120003</v>
      </c>
      <c r="AT78" s="524">
        <f>'4-1. UPC &amp; NCE(Grid)'!AQ59</f>
        <v>94271944.718263999</v>
      </c>
      <c r="AU78" s="524">
        <f>'4-1. UPC &amp; NCE(Grid)'!AR59</f>
        <v>119906858.5003528</v>
      </c>
      <c r="AV78" s="524">
        <f>'4-1. UPC &amp; NCE(Grid)'!AS59</f>
        <v>91973030.21456641</v>
      </c>
      <c r="AW78" s="524">
        <f>'4-1. UPC &amp; NCE(Grid)'!AT59</f>
        <v>89902859.921120003</v>
      </c>
      <c r="AX78" s="524">
        <f>'4-1. UPC &amp; NCE(Grid)'!AU59</f>
        <v>94271944.718263999</v>
      </c>
      <c r="BA78" s="390"/>
      <c r="BB78" s="387"/>
      <c r="BC78" s="386"/>
    </row>
    <row r="79" spans="2:55">
      <c r="B79" s="467" t="s">
        <v>168</v>
      </c>
      <c r="C79" s="468"/>
      <c r="D79" s="469" t="s">
        <v>683</v>
      </c>
      <c r="E79" s="470">
        <f t="shared" si="67"/>
        <v>0</v>
      </c>
      <c r="F79" s="470">
        <f t="shared" si="68"/>
        <v>0</v>
      </c>
      <c r="G79" s="470">
        <f t="shared" si="69"/>
        <v>0</v>
      </c>
      <c r="H79" s="470">
        <f t="shared" si="70"/>
        <v>0</v>
      </c>
      <c r="I79" s="470">
        <f t="shared" si="71"/>
        <v>0</v>
      </c>
      <c r="J79" s="470">
        <f t="shared" si="72"/>
        <v>148653629.95305425</v>
      </c>
      <c r="K79" s="695">
        <f t="shared" si="73"/>
        <v>128027024.73926823</v>
      </c>
      <c r="L79" s="695">
        <f t="shared" si="74"/>
        <v>109314355.34986989</v>
      </c>
      <c r="M79" s="695">
        <f t="shared" si="75"/>
        <v>100644989.80827229</v>
      </c>
      <c r="N79" s="695">
        <f t="shared" si="76"/>
        <v>0</v>
      </c>
      <c r="O79" s="695">
        <f t="shared" si="76"/>
        <v>0</v>
      </c>
      <c r="P79" s="551">
        <f t="shared" si="77"/>
        <v>0</v>
      </c>
      <c r="Q79" s="551">
        <f t="shared" si="78"/>
        <v>0</v>
      </c>
      <c r="R79" s="918">
        <f t="shared" si="79"/>
        <v>4213378.4689214686</v>
      </c>
      <c r="S79" s="918">
        <f t="shared" si="80"/>
        <v>10306146.990692645</v>
      </c>
      <c r="T79" s="918">
        <f t="shared" si="81"/>
        <v>11078755.803746514</v>
      </c>
      <c r="U79" s="921">
        <f t="shared" si="81"/>
        <v>17498131.135877535</v>
      </c>
      <c r="AC79" s="235" t="s">
        <v>719</v>
      </c>
      <c r="AD79" s="738">
        <f>0.955*0.65</f>
        <v>0.62075000000000002</v>
      </c>
      <c r="AE79" s="358" t="s">
        <v>664</v>
      </c>
      <c r="AF79" s="737">
        <v>1</v>
      </c>
      <c r="AG79" s="523" t="s">
        <v>885</v>
      </c>
      <c r="AH79" s="524">
        <f>'3. CEF &amp; EEF'!D25*8000</f>
        <v>566371776.27786875</v>
      </c>
      <c r="AI79" s="524">
        <f>'4-1. UPC &amp; NCE(Grid)'!AF60</f>
        <v>0</v>
      </c>
      <c r="AJ79" s="524">
        <f>'4-1. UPC &amp; NCE(Grid)'!AG60</f>
        <v>0</v>
      </c>
      <c r="AK79" s="524">
        <f>'4-1. UPC &amp; NCE(Grid)'!AH60</f>
        <v>0</v>
      </c>
      <c r="AL79" s="524">
        <f>'4-1. UPC &amp; NCE(Grid)'!AI60</f>
        <v>0</v>
      </c>
      <c r="AM79" s="524">
        <f>'4-1. UPC &amp; NCE(Grid)'!AJ60</f>
        <v>0</v>
      </c>
      <c r="AN79" s="524">
        <f>'4-1. UPC &amp; NCE(Grid)'!AK60</f>
        <v>0</v>
      </c>
      <c r="AO79" s="524">
        <f>'4-1. UPC &amp; NCE(Grid)'!AL60</f>
        <v>0</v>
      </c>
      <c r="AP79" s="524">
        <f>'4-1. UPC &amp; NCE(Grid)'!AM60</f>
        <v>0</v>
      </c>
      <c r="AQ79" s="524">
        <f>'4-1. UPC &amp; NCE(Grid)'!AN60</f>
        <v>0</v>
      </c>
      <c r="AR79" s="524">
        <f>'4-1. UPC &amp; NCE(Grid)'!AO60</f>
        <v>0</v>
      </c>
      <c r="AS79" s="524">
        <f>'4-1. UPC &amp; NCE(Grid)'!AP60</f>
        <v>0</v>
      </c>
      <c r="AT79" s="524">
        <f>'4-1. UPC &amp; NCE(Grid)'!AQ60</f>
        <v>0</v>
      </c>
      <c r="AU79" s="524">
        <f>'4-1. UPC &amp; NCE(Grid)'!AR60</f>
        <v>0</v>
      </c>
      <c r="AV79" s="524">
        <f>'4-1. UPC &amp; NCE(Grid)'!AS60</f>
        <v>0</v>
      </c>
      <c r="AW79" s="524">
        <f>'4-1. UPC &amp; NCE(Grid)'!AT60</f>
        <v>0</v>
      </c>
      <c r="AX79" s="524">
        <f>'4-1. UPC &amp; NCE(Grid)'!AU60</f>
        <v>0</v>
      </c>
      <c r="BA79" s="390"/>
      <c r="BB79" s="387"/>
      <c r="BC79" s="386"/>
    </row>
    <row r="80" spans="2:55">
      <c r="B80" s="467" t="s">
        <v>849</v>
      </c>
      <c r="C80" s="468"/>
      <c r="D80" s="469" t="s">
        <v>683</v>
      </c>
      <c r="E80" s="470">
        <f t="shared" si="67"/>
        <v>0</v>
      </c>
      <c r="F80" s="470">
        <f t="shared" si="68"/>
        <v>0</v>
      </c>
      <c r="G80" s="470">
        <f t="shared" si="69"/>
        <v>0</v>
      </c>
      <c r="H80" s="470">
        <f t="shared" si="70"/>
        <v>0</v>
      </c>
      <c r="I80" s="470">
        <f t="shared" si="71"/>
        <v>0</v>
      </c>
      <c r="J80" s="470">
        <f t="shared" si="72"/>
        <v>0</v>
      </c>
      <c r="K80" s="695">
        <f t="shared" si="73"/>
        <v>0</v>
      </c>
      <c r="L80" s="695">
        <f t="shared" si="74"/>
        <v>0</v>
      </c>
      <c r="M80" s="695">
        <f t="shared" si="75"/>
        <v>0</v>
      </c>
      <c r="N80" s="695">
        <f t="shared" si="76"/>
        <v>0</v>
      </c>
      <c r="O80" s="695">
        <f t="shared" si="76"/>
        <v>0</v>
      </c>
      <c r="P80" s="551">
        <f t="shared" si="77"/>
        <v>0</v>
      </c>
      <c r="Q80" s="551">
        <f t="shared" si="78"/>
        <v>0</v>
      </c>
      <c r="R80" s="918">
        <f t="shared" si="79"/>
        <v>0</v>
      </c>
      <c r="S80" s="918">
        <f t="shared" si="80"/>
        <v>0</v>
      </c>
      <c r="T80" s="918">
        <f t="shared" si="81"/>
        <v>0</v>
      </c>
      <c r="U80" s="921">
        <f t="shared" si="81"/>
        <v>0</v>
      </c>
      <c r="AC80" s="235" t="s">
        <v>168</v>
      </c>
      <c r="AD80" s="738">
        <v>3.5000000000000003E-2</v>
      </c>
      <c r="AE80" s="358" t="s">
        <v>664</v>
      </c>
      <c r="AF80" s="737">
        <v>1</v>
      </c>
      <c r="AG80" s="523" t="s">
        <v>885</v>
      </c>
      <c r="AH80" s="524">
        <v>0</v>
      </c>
      <c r="AI80" s="524">
        <f>'4-1. UPC &amp; NCE(Grid)'!AF61</f>
        <v>0</v>
      </c>
      <c r="AJ80" s="524">
        <f>'4-1. UPC &amp; NCE(Grid)'!AG61</f>
        <v>0</v>
      </c>
      <c r="AK80" s="524">
        <f>'4-1. UPC &amp; NCE(Grid)'!AH61</f>
        <v>0</v>
      </c>
      <c r="AL80" s="524">
        <f>'4-1. UPC &amp; NCE(Grid)'!AI61</f>
        <v>0</v>
      </c>
      <c r="AM80" s="524">
        <f>'4-1. UPC &amp; NCE(Grid)'!AJ61</f>
        <v>4247246570.0872641</v>
      </c>
      <c r="AN80" s="524">
        <f>'4-1. UPC &amp; NCE(Grid)'!AK61</f>
        <v>3657914992.5505204</v>
      </c>
      <c r="AO80" s="524">
        <f>'4-1. UPC &amp; NCE(Grid)'!AL61</f>
        <v>3123267295.710568</v>
      </c>
      <c r="AP80" s="524">
        <f>'4-1. UPC &amp; NCE(Grid)'!AM61</f>
        <v>2875571137.3792081</v>
      </c>
      <c r="AQ80" s="524">
        <f>'4-1. UPC &amp; NCE(Grid)'!AN61</f>
        <v>0</v>
      </c>
      <c r="AR80" s="524">
        <f>'4-1. UPC &amp; NCE(Grid)'!AO61</f>
        <v>0</v>
      </c>
      <c r="AS80" s="524">
        <f>'4-1. UPC &amp; NCE(Grid)'!AP61</f>
        <v>0</v>
      </c>
      <c r="AT80" s="524">
        <f>'4-1. UPC &amp; NCE(Grid)'!AQ61</f>
        <v>0</v>
      </c>
      <c r="AU80" s="524">
        <f>'4-1. UPC &amp; NCE(Grid)'!AR61</f>
        <v>120382241.9691848</v>
      </c>
      <c r="AV80" s="524">
        <f>'4-1. UPC &amp; NCE(Grid)'!AS61</f>
        <v>294461342.59121841</v>
      </c>
      <c r="AW80" s="524">
        <f>'4-1. UPC &amp; NCE(Grid)'!AT61</f>
        <v>316535880.10704321</v>
      </c>
      <c r="AX80" s="524">
        <f>'4-1. UPC &amp; NCE(Grid)'!AU61</f>
        <v>499946603.8822152</v>
      </c>
      <c r="BA80" s="390"/>
      <c r="BB80" s="387"/>
      <c r="BC80" s="386"/>
    </row>
    <row r="81" spans="2:55">
      <c r="B81" s="591" t="s">
        <v>1044</v>
      </c>
      <c r="C81" s="468"/>
      <c r="D81" s="469" t="s">
        <v>683</v>
      </c>
      <c r="E81" s="470">
        <f t="shared" si="67"/>
        <v>0</v>
      </c>
      <c r="F81" s="470">
        <f t="shared" si="68"/>
        <v>0</v>
      </c>
      <c r="G81" s="470">
        <f t="shared" si="69"/>
        <v>0</v>
      </c>
      <c r="H81" s="470">
        <f t="shared" si="70"/>
        <v>0</v>
      </c>
      <c r="I81" s="470">
        <f t="shared" si="71"/>
        <v>0</v>
      </c>
      <c r="J81" s="470">
        <f t="shared" si="72"/>
        <v>0</v>
      </c>
      <c r="K81" s="695">
        <f t="shared" si="73"/>
        <v>0</v>
      </c>
      <c r="L81" s="695">
        <f t="shared" si="74"/>
        <v>0</v>
      </c>
      <c r="M81" s="695">
        <f t="shared" si="75"/>
        <v>0</v>
      </c>
      <c r="N81" s="695">
        <f t="shared" si="76"/>
        <v>0</v>
      </c>
      <c r="O81" s="695">
        <f t="shared" si="76"/>
        <v>0</v>
      </c>
      <c r="P81" s="551">
        <f t="shared" si="77"/>
        <v>0</v>
      </c>
      <c r="Q81" s="551">
        <f t="shared" si="78"/>
        <v>0</v>
      </c>
      <c r="R81" s="918">
        <f t="shared" si="79"/>
        <v>0</v>
      </c>
      <c r="S81" s="918">
        <f t="shared" si="80"/>
        <v>0</v>
      </c>
      <c r="T81" s="918">
        <f t="shared" si="81"/>
        <v>0</v>
      </c>
      <c r="U81" s="921">
        <f t="shared" si="81"/>
        <v>0</v>
      </c>
      <c r="AC81" s="235" t="s">
        <v>849</v>
      </c>
      <c r="AD81" s="738">
        <f>0.6*0.6</f>
        <v>0.36</v>
      </c>
      <c r="AE81" s="358" t="s">
        <v>664</v>
      </c>
      <c r="AF81" s="737">
        <v>1</v>
      </c>
      <c r="AG81" s="523" t="s">
        <v>885</v>
      </c>
      <c r="AH81" s="524">
        <v>0</v>
      </c>
      <c r="AI81" s="524">
        <f>'4-1. UPC &amp; NCE(Grid)'!AF62</f>
        <v>0</v>
      </c>
      <c r="AJ81" s="524">
        <f>'4-1. UPC &amp; NCE(Grid)'!AG62</f>
        <v>0</v>
      </c>
      <c r="AK81" s="524">
        <f>'4-1. UPC &amp; NCE(Grid)'!AH62</f>
        <v>0</v>
      </c>
      <c r="AL81" s="524">
        <f>'4-1. UPC &amp; NCE(Grid)'!AI62</f>
        <v>0</v>
      </c>
      <c r="AM81" s="524">
        <f>'4-1. UPC &amp; NCE(Grid)'!AJ62</f>
        <v>0</v>
      </c>
      <c r="AN81" s="524">
        <f>'4-1. UPC &amp; NCE(Grid)'!AK62</f>
        <v>0</v>
      </c>
      <c r="AO81" s="524">
        <f>'4-1. UPC &amp; NCE(Grid)'!AL62</f>
        <v>0</v>
      </c>
      <c r="AP81" s="524">
        <f>'4-1. UPC &amp; NCE(Grid)'!AM62</f>
        <v>0</v>
      </c>
      <c r="AQ81" s="524">
        <f>'4-1. UPC &amp; NCE(Grid)'!AN62</f>
        <v>0</v>
      </c>
      <c r="AR81" s="524">
        <f>'4-1. UPC &amp; NCE(Grid)'!AO62</f>
        <v>0</v>
      </c>
      <c r="AS81" s="524">
        <f>'4-1. UPC &amp; NCE(Grid)'!AP62</f>
        <v>0</v>
      </c>
      <c r="AT81" s="524">
        <f>'4-1. UPC &amp; NCE(Grid)'!AQ62</f>
        <v>0</v>
      </c>
      <c r="AU81" s="524">
        <f>'4-1. UPC &amp; NCE(Grid)'!AR62</f>
        <v>0</v>
      </c>
      <c r="AV81" s="524">
        <f>'4-1. UPC &amp; NCE(Grid)'!AS62</f>
        <v>0</v>
      </c>
      <c r="AW81" s="524">
        <f>'4-1. UPC &amp; NCE(Grid)'!AT62</f>
        <v>0</v>
      </c>
      <c r="AX81" s="524">
        <f>'4-1. UPC &amp; NCE(Grid)'!AU62</f>
        <v>0</v>
      </c>
      <c r="BA81" s="390"/>
      <c r="BB81" s="387"/>
      <c r="BC81" s="386"/>
    </row>
    <row r="82" spans="2:55">
      <c r="B82" s="591" t="s">
        <v>1050</v>
      </c>
      <c r="C82" s="468"/>
      <c r="D82" s="469" t="s">
        <v>683</v>
      </c>
      <c r="E82" s="470">
        <f t="shared" si="67"/>
        <v>0</v>
      </c>
      <c r="F82" s="470">
        <f t="shared" si="68"/>
        <v>0</v>
      </c>
      <c r="G82" s="470">
        <f t="shared" si="69"/>
        <v>0</v>
      </c>
      <c r="H82" s="470">
        <f t="shared" si="70"/>
        <v>0</v>
      </c>
      <c r="I82" s="470">
        <f t="shared" si="71"/>
        <v>0</v>
      </c>
      <c r="J82" s="470">
        <f t="shared" si="72"/>
        <v>0</v>
      </c>
      <c r="K82" s="695">
        <f t="shared" si="73"/>
        <v>0</v>
      </c>
      <c r="L82" s="695">
        <f t="shared" si="74"/>
        <v>0</v>
      </c>
      <c r="M82" s="695">
        <f t="shared" si="75"/>
        <v>0</v>
      </c>
      <c r="N82" s="695">
        <f t="shared" si="76"/>
        <v>0</v>
      </c>
      <c r="O82" s="695">
        <f t="shared" si="76"/>
        <v>0</v>
      </c>
      <c r="P82" s="551">
        <f t="shared" si="77"/>
        <v>0</v>
      </c>
      <c r="Q82" s="551">
        <f t="shared" si="78"/>
        <v>0</v>
      </c>
      <c r="R82" s="918">
        <f t="shared" si="79"/>
        <v>0</v>
      </c>
      <c r="S82" s="918">
        <f t="shared" si="80"/>
        <v>0</v>
      </c>
      <c r="T82" s="918">
        <f t="shared" si="81"/>
        <v>0</v>
      </c>
      <c r="U82" s="921">
        <f t="shared" si="81"/>
        <v>0</v>
      </c>
      <c r="Y82">
        <f>'4-1. UPC &amp; NCE(Grid)'!M83</f>
        <v>0.59329514595164234</v>
      </c>
      <c r="AC82" s="235" t="s">
        <v>1044</v>
      </c>
      <c r="AD82" s="738">
        <v>0.89</v>
      </c>
      <c r="AE82" s="358" t="s">
        <v>664</v>
      </c>
      <c r="AF82" s="737">
        <v>1</v>
      </c>
      <c r="AG82" s="523" t="s">
        <v>885</v>
      </c>
      <c r="AH82" s="524">
        <v>0</v>
      </c>
      <c r="AI82" s="524">
        <f>'4-1. UPC &amp; NCE(Grid)'!AF63</f>
        <v>0</v>
      </c>
      <c r="AJ82" s="524">
        <f>'4-1. UPC &amp; NCE(Grid)'!AG63</f>
        <v>0</v>
      </c>
      <c r="AK82" s="524">
        <f>'4-1. UPC &amp; NCE(Grid)'!AH63</f>
        <v>0</v>
      </c>
      <c r="AL82" s="524">
        <f>'4-1. UPC &amp; NCE(Grid)'!AI63</f>
        <v>0</v>
      </c>
      <c r="AM82" s="524">
        <f>'4-1. UPC &amp; NCE(Grid)'!AJ63</f>
        <v>0</v>
      </c>
      <c r="AN82" s="524">
        <f>'4-1. UPC &amp; NCE(Grid)'!AK63</f>
        <v>0</v>
      </c>
      <c r="AO82" s="524">
        <f>'4-1. UPC &amp; NCE(Grid)'!AL63</f>
        <v>0</v>
      </c>
      <c r="AP82" s="524">
        <f>'4-1. UPC &amp; NCE(Grid)'!AM63</f>
        <v>0</v>
      </c>
      <c r="AQ82" s="524">
        <f>'4-1. UPC &amp; NCE(Grid)'!AN63</f>
        <v>0</v>
      </c>
      <c r="AR82" s="524">
        <f>'4-1. UPC &amp; NCE(Grid)'!AO63</f>
        <v>0</v>
      </c>
      <c r="AS82" s="524">
        <f>'4-1. UPC &amp; NCE(Grid)'!AP63</f>
        <v>0</v>
      </c>
      <c r="AT82" s="524">
        <f>'4-1. UPC &amp; NCE(Grid)'!AQ63</f>
        <v>0</v>
      </c>
      <c r="AU82" s="524">
        <f>'4-1. UPC &amp; NCE(Grid)'!AR63</f>
        <v>0</v>
      </c>
      <c r="AV82" s="524">
        <f>'4-1. UPC &amp; NCE(Grid)'!AS63</f>
        <v>0</v>
      </c>
      <c r="AW82" s="524">
        <f>'4-1. UPC &amp; NCE(Grid)'!AT63</f>
        <v>0</v>
      </c>
      <c r="AX82" s="524">
        <f>'4-1. UPC &amp; NCE(Grid)'!AU63</f>
        <v>0</v>
      </c>
      <c r="BA82" s="390"/>
      <c r="BB82" s="387"/>
      <c r="BC82" s="386"/>
    </row>
    <row r="83" spans="2:55" ht="17.25" thickBot="1">
      <c r="B83" s="476" t="s">
        <v>889</v>
      </c>
      <c r="C83" s="477"/>
      <c r="D83" s="480" t="s">
        <v>664</v>
      </c>
      <c r="E83" s="503" t="e">
        <f t="shared" ref="E83:O83" si="82">E72/AH73</f>
        <v>#REF!</v>
      </c>
      <c r="F83" s="873">
        <f t="shared" si="82"/>
        <v>1.1904429946197477</v>
      </c>
      <c r="G83" s="873">
        <f t="shared" si="82"/>
        <v>0.82573532922908377</v>
      </c>
      <c r="H83" s="873">
        <f t="shared" si="82"/>
        <v>0.60545808908211551</v>
      </c>
      <c r="I83" s="873">
        <f t="shared" si="82"/>
        <v>0.46395544120555154</v>
      </c>
      <c r="J83" s="873">
        <f t="shared" si="82"/>
        <v>1.2163334399092947</v>
      </c>
      <c r="K83" s="873">
        <f t="shared" si="82"/>
        <v>0.85419094960349051</v>
      </c>
      <c r="L83" s="873">
        <f t="shared" si="82"/>
        <v>0.62977087114041186</v>
      </c>
      <c r="M83" s="873">
        <f t="shared" si="82"/>
        <v>0.48656947867349937</v>
      </c>
      <c r="N83" s="873">
        <f t="shared" si="82"/>
        <v>1.6951991922459451</v>
      </c>
      <c r="O83" s="873">
        <f t="shared" si="82"/>
        <v>1.2423959193552965</v>
      </c>
      <c r="P83" s="873">
        <f>P72/AS73</f>
        <v>0.95283355080217802</v>
      </c>
      <c r="Q83" s="873">
        <f>Q72/AT73</f>
        <v>0.78767553028132498</v>
      </c>
      <c r="R83" s="873">
        <f>R72/AU73</f>
        <v>1.6966408811095581</v>
      </c>
      <c r="S83" s="873">
        <f>S72/AV73</f>
        <v>1.2451302711850425</v>
      </c>
      <c r="T83" s="873">
        <f t="shared" ref="T83:U83" si="83">T72/AW73</f>
        <v>0.95565229304365595</v>
      </c>
      <c r="U83" s="894">
        <f t="shared" si="83"/>
        <v>0.79793429616765987</v>
      </c>
      <c r="Y83" s="925">
        <f>U83</f>
        <v>0.79793429616765987</v>
      </c>
      <c r="AC83" s="239" t="s">
        <v>1050</v>
      </c>
      <c r="AD83" s="739">
        <f>0.983*0.6</f>
        <v>0.58979999999999999</v>
      </c>
      <c r="AE83" s="730" t="s">
        <v>664</v>
      </c>
      <c r="AF83" s="740">
        <v>2</v>
      </c>
      <c r="AG83" s="523" t="s">
        <v>885</v>
      </c>
      <c r="AH83" s="524">
        <v>0</v>
      </c>
      <c r="AI83" s="524">
        <f>'4-1. UPC &amp; NCE(Grid)'!AF64</f>
        <v>0</v>
      </c>
      <c r="AJ83" s="524">
        <f>'4-1. UPC &amp; NCE(Grid)'!AG64</f>
        <v>0</v>
      </c>
      <c r="AK83" s="524">
        <f>'4-1. UPC &amp; NCE(Grid)'!AH64</f>
        <v>0</v>
      </c>
      <c r="AL83" s="524">
        <f>'4-1. UPC &amp; NCE(Grid)'!AI64</f>
        <v>0</v>
      </c>
      <c r="AM83" s="524">
        <f>'4-1. UPC &amp; NCE(Grid)'!AJ64</f>
        <v>0</v>
      </c>
      <c r="AN83" s="524">
        <f>'4-1. UPC &amp; NCE(Grid)'!AK64</f>
        <v>0</v>
      </c>
      <c r="AO83" s="524">
        <f>'4-1. UPC &amp; NCE(Grid)'!AL64</f>
        <v>0</v>
      </c>
      <c r="AP83" s="524">
        <f>'4-1. UPC &amp; NCE(Grid)'!AM64</f>
        <v>0</v>
      </c>
      <c r="AQ83" s="524">
        <f>'4-1. UPC &amp; NCE(Grid)'!AN64</f>
        <v>0</v>
      </c>
      <c r="AR83" s="524">
        <f>'4-1. UPC &amp; NCE(Grid)'!AO64</f>
        <v>0</v>
      </c>
      <c r="AS83" s="524">
        <f>'4-1. UPC &amp; NCE(Grid)'!AP64</f>
        <v>0</v>
      </c>
      <c r="AT83" s="524">
        <f>'4-1. UPC &amp; NCE(Grid)'!AQ64</f>
        <v>0</v>
      </c>
      <c r="AU83" s="524">
        <f>'4-1. UPC &amp; NCE(Grid)'!AR64</f>
        <v>0</v>
      </c>
      <c r="AV83" s="524">
        <f>'4-1. UPC &amp; NCE(Grid)'!AS64</f>
        <v>0</v>
      </c>
      <c r="AW83" s="524">
        <f>'4-1. UPC &amp; NCE(Grid)'!AT64</f>
        <v>0</v>
      </c>
      <c r="AX83" s="524">
        <f>'4-1. UPC &amp; NCE(Grid)'!AU64</f>
        <v>0</v>
      </c>
      <c r="BB83" s="387"/>
      <c r="BC83" s="386"/>
    </row>
    <row r="84" spans="2:55" ht="17.25" thickBot="1">
      <c r="I84" s="370"/>
      <c r="J84" s="370"/>
      <c r="K84" s="370"/>
      <c r="L84" s="370"/>
      <c r="M84" s="370"/>
      <c r="N84" s="697"/>
      <c r="O84" s="697"/>
      <c r="P84" s="553"/>
      <c r="Q84" s="553"/>
      <c r="R84" s="608">
        <f>'4-1. UPC &amp; NCE(Grid)'!J83-'4-2. UPC &amp; NCE(RE)'!R83</f>
        <v>-0.30236304231926847</v>
      </c>
      <c r="S84" s="608">
        <f>'4-1. UPC &amp; NCE(Grid)'!K83-'4-2. UPC &amp; NCE(RE)'!S83</f>
        <v>-0.24184229234507226</v>
      </c>
      <c r="T84" s="608">
        <f>'4-1. UPC &amp; NCE(Grid)'!L83-'4-2. UPC &amp; NCE(RE)'!T83</f>
        <v>-0.20359369662750559</v>
      </c>
      <c r="U84" s="608">
        <f>'4-1. UPC &amp; NCE(Grid)'!M83-'4-2. UPC &amp; NCE(RE)'!U83</f>
        <v>-0.20463915021601753</v>
      </c>
      <c r="AX84" s="412"/>
      <c r="BB84" s="387"/>
      <c r="BC84" s="386"/>
    </row>
    <row r="85" spans="2:55" ht="17.25" thickBot="1">
      <c r="B85" s="372"/>
      <c r="C85" s="373"/>
      <c r="D85" s="373"/>
      <c r="E85" s="373"/>
      <c r="F85" s="373"/>
      <c r="G85" s="373"/>
      <c r="H85" s="373"/>
      <c r="I85" s="457"/>
      <c r="J85" s="457"/>
      <c r="K85" s="457"/>
      <c r="L85" s="457"/>
      <c r="M85" s="457"/>
      <c r="N85" s="698"/>
      <c r="O85" s="698"/>
      <c r="P85" s="554"/>
      <c r="Q85" s="554"/>
      <c r="R85" s="554"/>
      <c r="S85" s="597"/>
      <c r="T85" s="515"/>
      <c r="U85" s="515"/>
      <c r="AD85" s="379">
        <f>I83</f>
        <v>0.46395544120555154</v>
      </c>
      <c r="AE85" s="669">
        <f>N83</f>
        <v>1.6951991922459451</v>
      </c>
      <c r="AF85" s="669">
        <f>J83</f>
        <v>1.2163334399092947</v>
      </c>
      <c r="AG85" s="669">
        <f>O83</f>
        <v>1.2423959193552965</v>
      </c>
      <c r="AN85" s="563"/>
      <c r="AX85" s="412"/>
      <c r="BB85" s="387"/>
      <c r="BC85" s="386"/>
    </row>
    <row r="86" spans="2:55">
      <c r="B86" s="83" t="s">
        <v>876</v>
      </c>
      <c r="C86" s="87"/>
      <c r="D86" s="87"/>
      <c r="E86" s="430" t="e">
        <f>(E87-$D$11*E88+(1-$D$11)*E92)/(1-$D$11)</f>
        <v>#REF!</v>
      </c>
      <c r="F86" s="430">
        <f>(F87-$D$11*F88+(1-$D$11)*F92)/(1-$D$11)</f>
        <v>2217112133.2820468</v>
      </c>
      <c r="G86" s="430">
        <f>(G87-$D$11*G88+(1-$D$11)*G92)/(1-$D$11)</f>
        <v>1757202814.4318242</v>
      </c>
      <c r="H86" s="430">
        <f>(H87-$D$11*H88+(1-$D$11)*H92)/(1-$D$11)</f>
        <v>1524034224.0874915</v>
      </c>
      <c r="I86" s="430">
        <f t="shared" ref="I86:S86" si="84">(I87-$D$11*I88+(1-$D$11)*I92)/(1-$D$11)</f>
        <v>1390556387.8461559</v>
      </c>
      <c r="J86" s="430">
        <f t="shared" si="84"/>
        <v>2405512879.6969032</v>
      </c>
      <c r="K86" s="699">
        <f>(K87-$D$11*K88+(1-$D$11)*K92)/(1-$D$11)</f>
        <v>1925031286.7450075</v>
      </c>
      <c r="L86" s="699">
        <f>(L87-$D$11*L88+(1-$D$11)*L92)/(1-$D$11)</f>
        <v>1665997343.5710599</v>
      </c>
      <c r="M86" s="699">
        <f>(M87-$D$11*M88+(1-$D$11)*M92)/(1-$D$11)</f>
        <v>1519592336.5461648</v>
      </c>
      <c r="N86" s="699">
        <f t="shared" si="84"/>
        <v>2814963894.9464502</v>
      </c>
      <c r="O86" s="699">
        <f t="shared" ref="O86" si="85">(O87-$D$11*O88+(1-$D$11)*O92)/(1-$D$11)</f>
        <v>2218322878.2070313</v>
      </c>
      <c r="P86" s="555">
        <f t="shared" si="84"/>
        <v>1887988881.2670798</v>
      </c>
      <c r="Q86" s="555">
        <f t="shared" si="84"/>
        <v>1699466021.1189761</v>
      </c>
      <c r="R86" s="555">
        <f t="shared" si="84"/>
        <v>2821381334.7001128</v>
      </c>
      <c r="S86" s="598">
        <f t="shared" si="84"/>
        <v>2232653170.8902574</v>
      </c>
      <c r="T86" s="598">
        <f t="shared" ref="T86:U86" si="86">(T87-$D$11*T88+(1-$D$11)*T92)/(1-$D$11)</f>
        <v>1903065668.7114193</v>
      </c>
      <c r="U86" s="598">
        <f t="shared" si="86"/>
        <v>1728408582.37201</v>
      </c>
      <c r="AC86" s="648" t="s">
        <v>1060</v>
      </c>
      <c r="AD86" s="667" t="s">
        <v>1034</v>
      </c>
      <c r="AE86" s="667" t="s">
        <v>1053</v>
      </c>
      <c r="AF86" s="667" t="s">
        <v>1033</v>
      </c>
      <c r="AG86" s="668" t="s">
        <v>1054</v>
      </c>
      <c r="AH86"/>
      <c r="AI86" s="664" t="s">
        <v>1061</v>
      </c>
      <c r="AJ86" s="667" t="s">
        <v>1034</v>
      </c>
      <c r="AK86" s="667" t="s">
        <v>1053</v>
      </c>
      <c r="AL86" s="667" t="s">
        <v>1033</v>
      </c>
      <c r="AM86" s="668" t="s">
        <v>1054</v>
      </c>
      <c r="AN86"/>
      <c r="AX86" s="412"/>
      <c r="BB86" s="387"/>
      <c r="BC86" s="386"/>
    </row>
    <row r="87" spans="2:55">
      <c r="B87" s="406" t="s">
        <v>743</v>
      </c>
      <c r="C87" s="377"/>
      <c r="D87" s="449" t="s">
        <v>683</v>
      </c>
      <c r="E87" s="432" t="e">
        <f t="shared" ref="E87:N87" si="87">E21*$D$15</f>
        <v>#REF!</v>
      </c>
      <c r="F87" s="432">
        <f t="shared" si="87"/>
        <v>328052610.06566292</v>
      </c>
      <c r="G87" s="432">
        <f t="shared" si="87"/>
        <v>269777200.16753572</v>
      </c>
      <c r="H87" s="432">
        <f t="shared" si="87"/>
        <v>246582094.02020839</v>
      </c>
      <c r="I87" s="432">
        <f t="shared" si="87"/>
        <v>223226968.95105332</v>
      </c>
      <c r="J87" s="432">
        <f t="shared" si="87"/>
        <v>356860675.24890459</v>
      </c>
      <c r="K87" s="700">
        <f t="shared" si="87"/>
        <v>297760871.13239163</v>
      </c>
      <c r="L87" s="700">
        <f t="shared" si="87"/>
        <v>271170569.16763651</v>
      </c>
      <c r="M87" s="700">
        <f t="shared" si="87"/>
        <v>247456464.74347374</v>
      </c>
      <c r="N87" s="700">
        <f t="shared" si="87"/>
        <v>344925693.70263684</v>
      </c>
      <c r="O87" s="700">
        <f t="shared" ref="O87" si="88">O21*$D$15</f>
        <v>274942257.50315934</v>
      </c>
      <c r="P87" s="556">
        <f>P21*$D$15</f>
        <v>244121186.83208558</v>
      </c>
      <c r="Q87" s="556">
        <f>Q21*$D$15</f>
        <v>217104483.40920079</v>
      </c>
      <c r="R87" s="556">
        <f>R21*$D$15</f>
        <v>346502816.96561372</v>
      </c>
      <c r="S87" s="599">
        <f>S21*$D$15</f>
        <v>278227363.89335978</v>
      </c>
      <c r="T87" s="599">
        <f t="shared" ref="T87:U87" si="89">T21*$D$15</f>
        <v>247605112.46864912</v>
      </c>
      <c r="U87" s="599">
        <f t="shared" si="89"/>
        <v>223409081.55580914</v>
      </c>
      <c r="AC87" s="641" t="s">
        <v>1059</v>
      </c>
      <c r="AD87" s="649">
        <v>-9.1276694943348072E-2</v>
      </c>
      <c r="AE87" s="649">
        <v>0.65479020104462538</v>
      </c>
      <c r="AF87" s="649">
        <v>0.52282630550217213</v>
      </c>
      <c r="AG87" s="650">
        <v>1.6903550120766337</v>
      </c>
      <c r="AH87"/>
      <c r="AI87" s="641" t="s">
        <v>1059</v>
      </c>
      <c r="AJ87" s="649">
        <v>0.11407321714879563</v>
      </c>
      <c r="AK87" s="649">
        <v>0.79640670088430554</v>
      </c>
      <c r="AL87" s="649">
        <v>0.74474100225498674</v>
      </c>
      <c r="AM87" s="650">
        <v>1.8234030866286246</v>
      </c>
      <c r="AN87"/>
      <c r="AX87" s="412"/>
      <c r="BB87" s="387"/>
      <c r="BC87" s="386"/>
    </row>
    <row r="88" spans="2:55">
      <c r="B88" s="406" t="s">
        <v>689</v>
      </c>
      <c r="C88" s="377"/>
      <c r="D88" s="449" t="s">
        <v>683</v>
      </c>
      <c r="E88" s="432" t="e">
        <f t="shared" ref="E88:N88" si="90">E21/$D$7</f>
        <v>#REF!</v>
      </c>
      <c r="F88" s="432">
        <f t="shared" si="90"/>
        <v>123104840.30889054</v>
      </c>
      <c r="G88" s="432">
        <f t="shared" si="90"/>
        <v>101236442.34672175</v>
      </c>
      <c r="H88" s="432">
        <f t="shared" si="90"/>
        <v>92532259.692473248</v>
      </c>
      <c r="I88" s="432">
        <f t="shared" si="90"/>
        <v>83768028.426466808</v>
      </c>
      <c r="J88" s="432">
        <f t="shared" si="90"/>
        <v>133915338.85447817</v>
      </c>
      <c r="K88" s="700">
        <f t="shared" si="90"/>
        <v>111737579.1756456</v>
      </c>
      <c r="L88" s="700">
        <f t="shared" si="90"/>
        <v>101759317.2240606</v>
      </c>
      <c r="M88" s="700">
        <f t="shared" si="90"/>
        <v>92860375.564609751</v>
      </c>
      <c r="N88" s="700">
        <f t="shared" si="90"/>
        <v>129436624.3060746</v>
      </c>
      <c r="O88" s="700">
        <f t="shared" ref="O88" si="91">O21/$D$7</f>
        <v>103174678.89469784</v>
      </c>
      <c r="P88" s="556">
        <f>P21/$D$7</f>
        <v>91608781.027425528</v>
      </c>
      <c r="Q88" s="556">
        <f>Q21/$D$7</f>
        <v>81470507.901413262</v>
      </c>
      <c r="R88" s="556">
        <f>R21/$D$7</f>
        <v>130028454.70607461</v>
      </c>
      <c r="S88" s="599">
        <f>S21/$D$7</f>
        <v>104407446.09469785</v>
      </c>
      <c r="T88" s="599">
        <f t="shared" ref="T88:U88" si="92">T21/$D$7</f>
        <v>92916157.027425528</v>
      </c>
      <c r="U88" s="599">
        <f t="shared" si="92"/>
        <v>83836367.901413262</v>
      </c>
      <c r="AC88" s="641" t="s">
        <v>1065</v>
      </c>
      <c r="AD88" s="649">
        <v>0.20951934295914248</v>
      </c>
      <c r="AE88" s="649">
        <v>0.92371953282088437</v>
      </c>
      <c r="AF88" s="649">
        <v>0.81314820022092371</v>
      </c>
      <c r="AG88" s="650">
        <v>1.9362435956949733</v>
      </c>
      <c r="AH88"/>
      <c r="AI88" s="641" t="s">
        <v>1065</v>
      </c>
      <c r="AJ88" s="649">
        <v>-0.18672282075369506</v>
      </c>
      <c r="AK88" s="649">
        <v>0.52747736910804677</v>
      </c>
      <c r="AL88" s="649">
        <v>0.45441910753623549</v>
      </c>
      <c r="AM88" s="650">
        <v>1.5775145030102853</v>
      </c>
      <c r="AN88"/>
      <c r="BA88" s="393"/>
      <c r="BB88" s="405"/>
      <c r="BC88" s="386"/>
    </row>
    <row r="89" spans="2:55">
      <c r="B89" s="406" t="s">
        <v>690</v>
      </c>
      <c r="C89" s="377"/>
      <c r="D89" s="449" t="s">
        <v>683</v>
      </c>
      <c r="E89" s="432" t="e">
        <f>(E91-E88)*$D$11</f>
        <v>#REF!</v>
      </c>
      <c r="F89" s="432">
        <f>(F91-F88)*$D$11</f>
        <v>110356491.40749274</v>
      </c>
      <c r="G89" s="432">
        <f>(G91-G88)*$D$11</f>
        <v>90752715.749669075</v>
      </c>
      <c r="H89" s="432">
        <f>(H91-H88)*$D$11</f>
        <v>82949910.791857406</v>
      </c>
      <c r="I89" s="432">
        <f t="shared" ref="I89:S89" si="93">(I91-I88)*$D$11</f>
        <v>75093275.667085022</v>
      </c>
      <c r="J89" s="432">
        <f t="shared" si="93"/>
        <v>120047488.8277681</v>
      </c>
      <c r="K89" s="700">
        <f>(K91-K88)*$D$11</f>
        <v>100166387.97670932</v>
      </c>
      <c r="L89" s="700">
        <f>(L91-L88)*$D$11</f>
        <v>91221443.35423325</v>
      </c>
      <c r="M89" s="700">
        <f>(M91-M88)*$D$11</f>
        <v>83244048.019388258</v>
      </c>
      <c r="N89" s="700">
        <f t="shared" si="93"/>
        <v>116032575.82891802</v>
      </c>
      <c r="O89" s="700">
        <f t="shared" ref="O89" si="94">(O91-O88)*$D$11</f>
        <v>92490234.635325402</v>
      </c>
      <c r="P89" s="556">
        <f t="shared" si="93"/>
        <v>82122064.664047718</v>
      </c>
      <c r="Q89" s="556">
        <f t="shared" si="93"/>
        <v>73033679.119577929</v>
      </c>
      <c r="R89" s="556">
        <f t="shared" si="93"/>
        <v>116563118.13975173</v>
      </c>
      <c r="S89" s="599">
        <f t="shared" si="93"/>
        <v>93595340.353125587</v>
      </c>
      <c r="T89" s="599">
        <f t="shared" ref="T89:U89" si="95">(T91-T88)*$D$11</f>
        <v>83294052.92988956</v>
      </c>
      <c r="U89" s="599">
        <f t="shared" si="95"/>
        <v>75154538.121597812</v>
      </c>
      <c r="AC89" s="641" t="s">
        <v>1063</v>
      </c>
      <c r="AD89" s="649">
        <v>-3.3692490953760215E-2</v>
      </c>
      <c r="AE89" s="649">
        <v>0.72559845096446551</v>
      </c>
      <c r="AF89" s="649">
        <v>0.53240549986423369</v>
      </c>
      <c r="AG89" s="650">
        <v>1.7568790493526292</v>
      </c>
      <c r="AH89"/>
      <c r="AI89" s="641" t="s">
        <v>1063</v>
      </c>
      <c r="AJ89" s="649">
        <v>5.6489013159207492E-2</v>
      </c>
      <c r="AK89" s="649">
        <v>0.72559845096446551</v>
      </c>
      <c r="AL89" s="649">
        <v>0.73516180789292573</v>
      </c>
      <c r="AM89" s="650">
        <v>1.7568790493526292</v>
      </c>
      <c r="AN89"/>
      <c r="BA89" s="393"/>
      <c r="BB89" s="405"/>
      <c r="BC89" s="386"/>
    </row>
    <row r="90" spans="2:55">
      <c r="B90" s="406" t="s">
        <v>691</v>
      </c>
      <c r="C90" s="377"/>
      <c r="D90" s="449" t="s">
        <v>683</v>
      </c>
      <c r="E90" s="432" t="e">
        <f t="shared" ref="E90:S90" si="96">E91-E89</f>
        <v>#REF!</v>
      </c>
      <c r="F90" s="432">
        <f t="shared" si="96"/>
        <v>328052610.06566274</v>
      </c>
      <c r="G90" s="432">
        <f t="shared" si="96"/>
        <v>269777200.16753578</v>
      </c>
      <c r="H90" s="432">
        <f t="shared" si="96"/>
        <v>246582094.02020842</v>
      </c>
      <c r="I90" s="432">
        <f t="shared" si="96"/>
        <v>223226968.95105329</v>
      </c>
      <c r="J90" s="432">
        <f t="shared" si="96"/>
        <v>356860675.24890471</v>
      </c>
      <c r="K90" s="700">
        <f>K91-K89</f>
        <v>297760871.13239151</v>
      </c>
      <c r="L90" s="700">
        <f>L91-L89</f>
        <v>271170569.16763663</v>
      </c>
      <c r="M90" s="700">
        <f>M91-M89</f>
        <v>247456464.74347371</v>
      </c>
      <c r="N90" s="700">
        <f t="shared" si="96"/>
        <v>344925693.70263666</v>
      </c>
      <c r="O90" s="700">
        <f t="shared" ref="O90" si="97">O91-O89</f>
        <v>274942257.50315928</v>
      </c>
      <c r="P90" s="556">
        <f t="shared" si="96"/>
        <v>244121186.83208561</v>
      </c>
      <c r="Q90" s="556">
        <f t="shared" si="96"/>
        <v>217104483.40920085</v>
      </c>
      <c r="R90" s="556">
        <f t="shared" si="96"/>
        <v>346502816.96561354</v>
      </c>
      <c r="S90" s="599">
        <f t="shared" si="96"/>
        <v>278227363.89335966</v>
      </c>
      <c r="T90" s="599">
        <f t="shared" ref="T90:U90" si="98">T91-T89</f>
        <v>247605112.46864903</v>
      </c>
      <c r="U90" s="599">
        <f t="shared" si="98"/>
        <v>223409081.5558092</v>
      </c>
      <c r="AC90" s="641" t="s">
        <v>1064</v>
      </c>
      <c r="AD90" s="649">
        <v>1.1398261102723638E-2</v>
      </c>
      <c r="AE90" s="649">
        <v>0.47269002527893028</v>
      </c>
      <c r="AF90" s="649">
        <v>0.63378365387857949</v>
      </c>
      <c r="AG90" s="650">
        <v>1.3457684152158531</v>
      </c>
      <c r="AH90"/>
      <c r="AI90" s="641" t="s">
        <v>1064</v>
      </c>
      <c r="AJ90" s="649">
        <v>1.1398261102723638E-2</v>
      </c>
      <c r="AK90" s="649">
        <v>0.97850687665000013</v>
      </c>
      <c r="AL90" s="649">
        <v>0.63378365387857949</v>
      </c>
      <c r="AM90" s="650">
        <v>2.1679896834894046</v>
      </c>
      <c r="AN90"/>
      <c r="BA90" s="393"/>
      <c r="BB90" s="405"/>
      <c r="BC90" s="386"/>
    </row>
    <row r="91" spans="2:55" ht="17.25" thickBot="1">
      <c r="B91" s="406" t="s">
        <v>692</v>
      </c>
      <c r="C91" s="377"/>
      <c r="D91" s="449" t="s">
        <v>683</v>
      </c>
      <c r="E91" s="432" t="e">
        <f t="shared" ref="E91:S91" si="99">E86-E92</f>
        <v>#REF!</v>
      </c>
      <c r="F91" s="432">
        <f t="shared" si="99"/>
        <v>438409101.4731555</v>
      </c>
      <c r="G91" s="432">
        <f t="shared" si="99"/>
        <v>360529915.91720486</v>
      </c>
      <c r="H91" s="432">
        <f t="shared" si="99"/>
        <v>329532004.81206584</v>
      </c>
      <c r="I91" s="432">
        <f t="shared" si="99"/>
        <v>298320244.61813831</v>
      </c>
      <c r="J91" s="432">
        <f t="shared" si="99"/>
        <v>476908164.07667279</v>
      </c>
      <c r="K91" s="700">
        <f>K86-K92</f>
        <v>397927259.10910082</v>
      </c>
      <c r="L91" s="700">
        <f>L86-L92</f>
        <v>362392012.5218699</v>
      </c>
      <c r="M91" s="700">
        <f>M86-M92</f>
        <v>330700512.76286197</v>
      </c>
      <c r="N91" s="700">
        <f t="shared" si="99"/>
        <v>460958269.5315547</v>
      </c>
      <c r="O91" s="700">
        <f t="shared" ref="O91" si="100">O86-O92</f>
        <v>367432492.13848472</v>
      </c>
      <c r="P91" s="556">
        <f t="shared" si="99"/>
        <v>326243251.49613333</v>
      </c>
      <c r="Q91" s="556">
        <f t="shared" si="99"/>
        <v>290138162.52877879</v>
      </c>
      <c r="R91" s="556">
        <f t="shared" si="99"/>
        <v>463065935.10536528</v>
      </c>
      <c r="S91" s="599">
        <f t="shared" si="99"/>
        <v>371822704.24648523</v>
      </c>
      <c r="T91" s="599">
        <f t="shared" ref="T91:U91" si="101">T86-T92</f>
        <v>330899165.39853859</v>
      </c>
      <c r="U91" s="599">
        <f t="shared" si="101"/>
        <v>298563619.67740703</v>
      </c>
      <c r="AC91" s="647" t="s">
        <v>727</v>
      </c>
      <c r="AD91" s="651">
        <v>-2.1327409777489922E-2</v>
      </c>
      <c r="AE91" s="651">
        <v>0.69503011707720863</v>
      </c>
      <c r="AF91" s="651">
        <v>0.5939100800624395</v>
      </c>
      <c r="AG91" s="652">
        <v>1.717220596910165</v>
      </c>
      <c r="AH91"/>
      <c r="AI91" s="647" t="s">
        <v>727</v>
      </c>
      <c r="AJ91" s="651">
        <v>4.5846188870534869E-2</v>
      </c>
      <c r="AK91" s="651">
        <v>0.75777550736721855</v>
      </c>
      <c r="AL91" s="651">
        <v>0.67575565792673342</v>
      </c>
      <c r="AM91" s="652">
        <v>1.7986246108148136</v>
      </c>
      <c r="AN91"/>
      <c r="BA91" s="393"/>
      <c r="BB91" s="405"/>
      <c r="BC91" s="386"/>
    </row>
    <row r="92" spans="2:55">
      <c r="B92" s="406" t="s">
        <v>875</v>
      </c>
      <c r="C92" s="377"/>
      <c r="D92" s="449" t="s">
        <v>683</v>
      </c>
      <c r="E92" s="432" t="e">
        <f t="shared" ref="E92:N92" si="102">E39</f>
        <v>#REF!</v>
      </c>
      <c r="F92" s="432">
        <f t="shared" si="102"/>
        <v>1778703031.8088913</v>
      </c>
      <c r="G92" s="432">
        <f t="shared" si="102"/>
        <v>1396672898.5146194</v>
      </c>
      <c r="H92" s="432">
        <f t="shared" si="102"/>
        <v>1194502219.2754257</v>
      </c>
      <c r="I92" s="432">
        <f t="shared" si="102"/>
        <v>1092236143.2280176</v>
      </c>
      <c r="J92" s="432">
        <f t="shared" si="102"/>
        <v>1928604715.6202304</v>
      </c>
      <c r="K92" s="700">
        <f t="shared" si="102"/>
        <v>1527104027.6359067</v>
      </c>
      <c r="L92" s="700">
        <f t="shared" si="102"/>
        <v>1303605331.04919</v>
      </c>
      <c r="M92" s="700">
        <f t="shared" si="102"/>
        <v>1188891823.7833028</v>
      </c>
      <c r="N92" s="700">
        <f t="shared" si="102"/>
        <v>2354005625.4148955</v>
      </c>
      <c r="O92" s="700">
        <f t="shared" ref="O92" si="103">O39</f>
        <v>1850890386.0685465</v>
      </c>
      <c r="P92" s="556">
        <f>P39</f>
        <v>1561745629.7709465</v>
      </c>
      <c r="Q92" s="556">
        <f>Q39</f>
        <v>1409327858.5901973</v>
      </c>
      <c r="R92" s="556">
        <f>R39</f>
        <v>2358315399.5947475</v>
      </c>
      <c r="S92" s="599">
        <f>S39</f>
        <v>1860830466.6437721</v>
      </c>
      <c r="T92" s="599">
        <f t="shared" ref="T92:U92" si="104">T39</f>
        <v>1572166503.3128808</v>
      </c>
      <c r="U92" s="599">
        <f t="shared" si="104"/>
        <v>1429844962.694603</v>
      </c>
      <c r="BA92" s="393"/>
      <c r="BB92" s="405"/>
      <c r="BC92" s="386"/>
    </row>
    <row r="93" spans="2:55">
      <c r="B93" s="83" t="s">
        <v>701</v>
      </c>
      <c r="C93" s="87"/>
      <c r="D93" s="87"/>
      <c r="E93" s="430" t="e">
        <f t="shared" ref="E93:S93" si="105">E86</f>
        <v>#REF!</v>
      </c>
      <c r="F93" s="430">
        <f t="shared" si="105"/>
        <v>2217112133.2820468</v>
      </c>
      <c r="G93" s="430">
        <f t="shared" si="105"/>
        <v>1757202814.4318242</v>
      </c>
      <c r="H93" s="430">
        <f t="shared" si="105"/>
        <v>1524034224.0874915</v>
      </c>
      <c r="I93" s="430">
        <f t="shared" si="105"/>
        <v>1390556387.8461559</v>
      </c>
      <c r="J93" s="430">
        <f t="shared" si="105"/>
        <v>2405512879.6969032</v>
      </c>
      <c r="K93" s="699">
        <f>K86</f>
        <v>1925031286.7450075</v>
      </c>
      <c r="L93" s="699">
        <f>L86</f>
        <v>1665997343.5710599</v>
      </c>
      <c r="M93" s="699">
        <f>M86</f>
        <v>1519592336.5461648</v>
      </c>
      <c r="N93" s="699">
        <f t="shared" si="105"/>
        <v>2814963894.9464502</v>
      </c>
      <c r="O93" s="699">
        <f t="shared" ref="O93" si="106">O86</f>
        <v>2218322878.2070313</v>
      </c>
      <c r="P93" s="555">
        <f t="shared" si="105"/>
        <v>1887988881.2670798</v>
      </c>
      <c r="Q93" s="555">
        <f t="shared" si="105"/>
        <v>1699466021.1189761</v>
      </c>
      <c r="R93" s="555">
        <f t="shared" si="105"/>
        <v>2821381334.7001128</v>
      </c>
      <c r="S93" s="598">
        <f t="shared" si="105"/>
        <v>2232653170.8902574</v>
      </c>
      <c r="T93" s="598">
        <f t="shared" ref="T93:U93" si="107">T86</f>
        <v>1903065668.7114193</v>
      </c>
      <c r="U93" s="598">
        <f t="shared" si="107"/>
        <v>1728408582.37201</v>
      </c>
      <c r="AO93" s="379">
        <f>F83</f>
        <v>1.1904429946197477</v>
      </c>
      <c r="AP93" s="379">
        <f>G83</f>
        <v>0.82573532922908377</v>
      </c>
      <c r="AQ93" s="379">
        <f>H83</f>
        <v>0.60545808908211551</v>
      </c>
      <c r="AR93" s="379">
        <f>I83</f>
        <v>0.46395544120555154</v>
      </c>
      <c r="AS93" s="379"/>
      <c r="AT93" s="379">
        <f>N83</f>
        <v>1.6951991922459451</v>
      </c>
      <c r="AU93" s="379"/>
      <c r="AV93" s="379">
        <f>P83</f>
        <v>0.95283355080217802</v>
      </c>
      <c r="AW93" s="379">
        <f>Q83</f>
        <v>0.78767553028132498</v>
      </c>
      <c r="AX93" s="379">
        <f>R83</f>
        <v>1.6966408811095581</v>
      </c>
      <c r="AY93" s="379">
        <f>S83</f>
        <v>1.2451302711850425</v>
      </c>
      <c r="BA93" s="393"/>
      <c r="BB93" s="405"/>
      <c r="BC93" s="386"/>
    </row>
    <row r="94" spans="2:55">
      <c r="B94" s="406" t="s">
        <v>622</v>
      </c>
      <c r="C94" s="366"/>
      <c r="D94" s="449" t="s">
        <v>683</v>
      </c>
      <c r="E94" s="432" t="e">
        <f t="shared" ref="E94" si="108">E93-SUM(E95:E99)</f>
        <v>#REF!</v>
      </c>
      <c r="F94" s="432">
        <f>F93-SUM(F95:F100)</f>
        <v>1492337216.6632435</v>
      </c>
      <c r="G94" s="432">
        <f t="shared" ref="G94:S94" si="109">G93-SUM(G95:G100)</f>
        <v>972556006.29256439</v>
      </c>
      <c r="H94" s="432">
        <f t="shared" si="109"/>
        <v>690012977.8195461</v>
      </c>
      <c r="I94" s="432">
        <f t="shared" si="109"/>
        <v>490346177.29047847</v>
      </c>
      <c r="J94" s="432">
        <f t="shared" si="109"/>
        <v>1532084333.1250458</v>
      </c>
      <c r="K94" s="432">
        <f t="shared" si="109"/>
        <v>1012357453.8664795</v>
      </c>
      <c r="L94" s="432">
        <f t="shared" si="109"/>
        <v>722661741.95324469</v>
      </c>
      <c r="M94" s="432">
        <f t="shared" si="109"/>
        <v>518737136.18221509</v>
      </c>
      <c r="N94" s="432">
        <f t="shared" si="109"/>
        <v>2083827489.4051218</v>
      </c>
      <c r="O94" s="432">
        <f t="shared" si="109"/>
        <v>1418802128.2224231</v>
      </c>
      <c r="P94" s="432">
        <f t="shared" si="109"/>
        <v>1037423654.0968394</v>
      </c>
      <c r="Q94" s="432">
        <f t="shared" si="109"/>
        <v>788904272.4833498</v>
      </c>
      <c r="R94" s="432">
        <f t="shared" si="109"/>
        <v>2086031550.6898632</v>
      </c>
      <c r="S94" s="432">
        <f t="shared" si="109"/>
        <v>1422826273.9149566</v>
      </c>
      <c r="T94" s="599">
        <f t="shared" ref="T94:U94" si="110">T93-SUM(T95:T99)</f>
        <v>1052500441.5411789</v>
      </c>
      <c r="U94" s="599">
        <f t="shared" si="110"/>
        <v>817846833.73638368</v>
      </c>
      <c r="AN94" s="619" t="s">
        <v>1056</v>
      </c>
      <c r="AO94" s="370" t="s">
        <v>1037</v>
      </c>
      <c r="AP94" s="370" t="s">
        <v>1036</v>
      </c>
      <c r="AQ94" s="370" t="s">
        <v>1035</v>
      </c>
      <c r="AR94" s="370" t="s">
        <v>1034</v>
      </c>
      <c r="AT94" s="573" t="s">
        <v>1053</v>
      </c>
      <c r="AV94" s="370" t="s">
        <v>923</v>
      </c>
      <c r="AW94" s="370" t="s">
        <v>925</v>
      </c>
      <c r="AX94" s="370" t="s">
        <v>1038</v>
      </c>
      <c r="AY94" s="370" t="s">
        <v>1046</v>
      </c>
      <c r="BA94" s="393"/>
      <c r="BB94" s="405"/>
      <c r="BC94" s="386"/>
    </row>
    <row r="95" spans="2:55">
      <c r="B95" s="406" t="s">
        <v>1030</v>
      </c>
      <c r="C95" s="366"/>
      <c r="D95" s="449" t="s">
        <v>683</v>
      </c>
      <c r="E95" s="432">
        <f>$AD74*$AF74*AH75</f>
        <v>346271997.64959407</v>
      </c>
      <c r="F95" s="432">
        <f t="shared" ref="F95:O99" si="111">$AD75*$AF75*AI75</f>
        <v>630815581.89174747</v>
      </c>
      <c r="G95" s="432">
        <f t="shared" si="111"/>
        <v>664190564.01506937</v>
      </c>
      <c r="H95" s="432">
        <f t="shared" si="111"/>
        <v>681860823.60615337</v>
      </c>
      <c r="I95" s="432">
        <f t="shared" si="111"/>
        <v>714952611.50459826</v>
      </c>
      <c r="J95" s="432">
        <f t="shared" si="111"/>
        <v>630815581.89174747</v>
      </c>
      <c r="K95" s="432">
        <f t="shared" si="111"/>
        <v>664190564.01506937</v>
      </c>
      <c r="L95" s="432">
        <f t="shared" si="111"/>
        <v>681860823.60615337</v>
      </c>
      <c r="M95" s="432">
        <f t="shared" si="111"/>
        <v>714952611.50459826</v>
      </c>
      <c r="N95" s="432">
        <f t="shared" si="111"/>
        <v>637185656.99145031</v>
      </c>
      <c r="O95" s="432">
        <f t="shared" ref="O95" si="112">$AD75*$AF75*AR75</f>
        <v>679114577.5908221</v>
      </c>
      <c r="P95" s="432">
        <f t="shared" ref="P95" si="113">$AD75*$AF75*AS75</f>
        <v>698418352.81587827</v>
      </c>
      <c r="Q95" s="432">
        <f t="shared" ref="Q95" si="114">$AD75*$AF75*AT75</f>
        <v>719423179.78398907</v>
      </c>
      <c r="R95" s="432">
        <f t="shared" ref="R95" si="115">$AD75*$AF75*AU75</f>
        <v>637185656.99145031</v>
      </c>
      <c r="S95" s="432">
        <f t="shared" ref="S95" si="116">$AD75*$AF75*AV75</f>
        <v>679114577.5908221</v>
      </c>
      <c r="T95" s="432">
        <f t="shared" ref="T95" si="117">$AD75*$AF75*AW75</f>
        <v>698418352.81587827</v>
      </c>
      <c r="U95" s="432">
        <f t="shared" ref="U95" si="118">$AD75*$AF75*AX75</f>
        <v>719423179.78398907</v>
      </c>
      <c r="AN95" s="370">
        <v>2</v>
      </c>
      <c r="AO95" s="596">
        <v>0.74723357421048464</v>
      </c>
      <c r="AP95" s="596">
        <v>0.33280723960485781</v>
      </c>
      <c r="AQ95" s="596">
        <v>5.9799259750058668E-2</v>
      </c>
      <c r="AR95" s="596">
        <v>-0.18798582785524487</v>
      </c>
      <c r="AS95" s="596"/>
      <c r="AT95" s="596">
        <v>0.58809619194581564</v>
      </c>
      <c r="AU95" s="596"/>
      <c r="AV95" s="596">
        <v>0.20731209375604584</v>
      </c>
      <c r="AW95" s="596">
        <v>0.42350103259569943</v>
      </c>
      <c r="AX95" s="596">
        <v>3.779283016490445</v>
      </c>
      <c r="AY95" s="596">
        <v>0.92114647541509476</v>
      </c>
      <c r="BA95" s="393"/>
      <c r="BB95" s="405"/>
      <c r="BC95" s="386"/>
    </row>
    <row r="96" spans="2:55">
      <c r="B96" s="406" t="s">
        <v>688</v>
      </c>
      <c r="C96" s="366"/>
      <c r="D96" s="449" t="s">
        <v>683</v>
      </c>
      <c r="E96" s="432">
        <f>$AD76*$AF76*AH76</f>
        <v>16633321.751775734</v>
      </c>
      <c r="F96" s="432">
        <f t="shared" si="111"/>
        <v>6323774.6472003823</v>
      </c>
      <c r="G96" s="432">
        <f t="shared" si="111"/>
        <v>10584403.166748114</v>
      </c>
      <c r="H96" s="432">
        <f t="shared" si="111"/>
        <v>16504909.01640325</v>
      </c>
      <c r="I96" s="432">
        <f t="shared" si="111"/>
        <v>23452578.913891166</v>
      </c>
      <c r="J96" s="432">
        <f t="shared" si="111"/>
        <v>6323774.6472003823</v>
      </c>
      <c r="K96" s="700">
        <f t="shared" si="111"/>
        <v>10584403.166748114</v>
      </c>
      <c r="L96" s="700">
        <f t="shared" si="111"/>
        <v>16504909.01640325</v>
      </c>
      <c r="M96" s="700">
        <f t="shared" si="111"/>
        <v>23452578.913891166</v>
      </c>
      <c r="N96" s="700">
        <f t="shared" si="111"/>
        <v>6322916.4819606263</v>
      </c>
      <c r="O96" s="700">
        <f t="shared" si="111"/>
        <v>10579306.725305272</v>
      </c>
      <c r="P96" s="556">
        <f t="shared" ref="P96:S99" si="119">$AD76*$AF76*AS76</f>
        <v>16499972.637837995</v>
      </c>
      <c r="Q96" s="556">
        <f t="shared" si="119"/>
        <v>23453978.881747302</v>
      </c>
      <c r="R96" s="556">
        <f t="shared" si="119"/>
        <v>6322916.4819606263</v>
      </c>
      <c r="S96" s="599">
        <f t="shared" si="119"/>
        <v>10579306.725305272</v>
      </c>
      <c r="T96" s="599">
        <f t="shared" ref="T96:U96" si="120">$AD76*$AF76*AW76</f>
        <v>16499972.637837995</v>
      </c>
      <c r="U96" s="599">
        <f t="shared" si="120"/>
        <v>23453978.881747302</v>
      </c>
      <c r="AN96" s="370">
        <v>2.5</v>
      </c>
      <c r="AO96" s="596">
        <v>0.83099266722369936</v>
      </c>
      <c r="AP96" s="596">
        <v>0.41148868576796438</v>
      </c>
      <c r="AQ96" s="596">
        <v>0.13585377363157206</v>
      </c>
      <c r="AR96" s="596">
        <v>-0.10948815503714694</v>
      </c>
      <c r="AS96" s="596"/>
      <c r="AT96" s="596">
        <v>0.64223093959095334</v>
      </c>
      <c r="AU96" s="596"/>
      <c r="AV96" s="596">
        <v>0.26486519701697964</v>
      </c>
      <c r="AW96" s="596">
        <v>0.45111556293962757</v>
      </c>
      <c r="AX96" s="596">
        <v>3.779283016490445</v>
      </c>
      <c r="AY96" s="596">
        <v>0.92114647541509476</v>
      </c>
      <c r="BA96" s="393"/>
      <c r="BB96" s="405"/>
      <c r="BC96" s="386"/>
    </row>
    <row r="97" spans="2:55">
      <c r="B97" s="406" t="s">
        <v>625</v>
      </c>
      <c r="C97" s="366"/>
      <c r="D97" s="449" t="s">
        <v>683</v>
      </c>
      <c r="E97" s="432">
        <f>$AD77*$AF77*AH77</f>
        <v>57234671.314766191</v>
      </c>
      <c r="F97" s="432">
        <f t="shared" si="111"/>
        <v>68085756.194289759</v>
      </c>
      <c r="G97" s="432">
        <f t="shared" si="111"/>
        <v>94874526.926663905</v>
      </c>
      <c r="H97" s="432">
        <f t="shared" si="111"/>
        <v>120998678.79972346</v>
      </c>
      <c r="I97" s="432">
        <f t="shared" si="111"/>
        <v>151617631.71098673</v>
      </c>
      <c r="J97" s="432">
        <f t="shared" si="111"/>
        <v>68085756.194289759</v>
      </c>
      <c r="K97" s="700">
        <f t="shared" si="111"/>
        <v>94874526.926663905</v>
      </c>
      <c r="L97" s="700">
        <f t="shared" si="111"/>
        <v>120998678.79972346</v>
      </c>
      <c r="M97" s="700">
        <f t="shared" si="111"/>
        <v>151617631.71098673</v>
      </c>
      <c r="N97" s="700">
        <f t="shared" si="111"/>
        <v>68079195.951967984</v>
      </c>
      <c r="O97" s="700">
        <f t="shared" si="111"/>
        <v>94832333.056816176</v>
      </c>
      <c r="P97" s="556">
        <f t="shared" si="119"/>
        <v>120989872.78288741</v>
      </c>
      <c r="Q97" s="556">
        <f t="shared" si="119"/>
        <v>152315261.09005094</v>
      </c>
      <c r="R97" s="556">
        <f t="shared" si="119"/>
        <v>68079195.951967984</v>
      </c>
      <c r="S97" s="599">
        <f t="shared" si="119"/>
        <v>94832333.056816176</v>
      </c>
      <c r="T97" s="599">
        <f t="shared" ref="T97:U97" si="121">$AD77*$AF77*AW77</f>
        <v>120989872.78288741</v>
      </c>
      <c r="U97" s="599">
        <f t="shared" si="121"/>
        <v>152315261.09005094</v>
      </c>
      <c r="AN97" s="370">
        <v>3</v>
      </c>
      <c r="AO97" s="596">
        <v>0.91475176023691396</v>
      </c>
      <c r="AP97" s="596">
        <v>0.4901701319310709</v>
      </c>
      <c r="AQ97" s="596">
        <v>0.2119082875130856</v>
      </c>
      <c r="AR97" s="596">
        <v>-3.0990482219049022E-2</v>
      </c>
      <c r="AS97" s="596"/>
      <c r="AT97" s="596">
        <v>0.69636568723609116</v>
      </c>
      <c r="AU97" s="596"/>
      <c r="AV97" s="596">
        <v>0.32241830027791329</v>
      </c>
      <c r="AW97" s="596">
        <v>0.47873009328355576</v>
      </c>
      <c r="AX97" s="596">
        <v>3.779283016490445</v>
      </c>
      <c r="AY97" s="596">
        <v>0.92114647541509476</v>
      </c>
      <c r="BA97" s="393"/>
      <c r="BB97" s="405"/>
      <c r="BC97" s="386"/>
    </row>
    <row r="98" spans="2:55">
      <c r="B98" s="406" t="s">
        <v>779</v>
      </c>
      <c r="C98" s="377"/>
      <c r="D98" s="449" t="s">
        <v>683</v>
      </c>
      <c r="E98" s="432">
        <f>$AD78*$AF78*AH78</f>
        <v>0</v>
      </c>
      <c r="F98" s="432">
        <f t="shared" si="111"/>
        <v>19549803.885565616</v>
      </c>
      <c r="G98" s="432">
        <f t="shared" si="111"/>
        <v>14997314.030778449</v>
      </c>
      <c r="H98" s="432">
        <f t="shared" si="111"/>
        <v>14656834.845665378</v>
      </c>
      <c r="I98" s="432">
        <f t="shared" si="111"/>
        <v>10187388.426201172</v>
      </c>
      <c r="J98" s="432">
        <f t="shared" si="111"/>
        <v>19549803.885565616</v>
      </c>
      <c r="K98" s="700">
        <f t="shared" si="111"/>
        <v>14997314.030778449</v>
      </c>
      <c r="L98" s="700">
        <f t="shared" si="111"/>
        <v>14656834.845665378</v>
      </c>
      <c r="M98" s="700">
        <f t="shared" si="111"/>
        <v>10187388.426201172</v>
      </c>
      <c r="N98" s="700">
        <f t="shared" si="111"/>
        <v>19548636.115949411</v>
      </c>
      <c r="O98" s="700">
        <f t="shared" si="111"/>
        <v>14994532.611664489</v>
      </c>
      <c r="P98" s="556">
        <f t="shared" si="119"/>
        <v>14657028.933636656</v>
      </c>
      <c r="Q98" s="556">
        <f t="shared" si="119"/>
        <v>15369328.879839011</v>
      </c>
      <c r="R98" s="556">
        <f t="shared" si="119"/>
        <v>19548636.115949411</v>
      </c>
      <c r="S98" s="599">
        <f t="shared" si="119"/>
        <v>14994532.611664489</v>
      </c>
      <c r="T98" s="599">
        <f t="shared" ref="T98:U98" si="122">$AD78*$AF78*AW78</f>
        <v>14657028.933636656</v>
      </c>
      <c r="U98" s="599">
        <f t="shared" si="122"/>
        <v>15369328.879839011</v>
      </c>
      <c r="AN98" s="370">
        <v>3.5</v>
      </c>
      <c r="AO98" s="596">
        <v>0.99851085325012834</v>
      </c>
      <c r="AP98" s="596">
        <v>0.56885157809417741</v>
      </c>
      <c r="AQ98" s="596">
        <v>0.28796280139459884</v>
      </c>
      <c r="AR98" s="596">
        <v>4.7507190599048905E-2</v>
      </c>
      <c r="AS98" s="596"/>
      <c r="AT98" s="596">
        <v>0.75050043488122853</v>
      </c>
      <c r="AU98" s="596"/>
      <c r="AV98" s="596">
        <v>0.37997140353884712</v>
      </c>
      <c r="AW98" s="596">
        <v>0.50634462362748389</v>
      </c>
      <c r="AX98" s="596">
        <v>3.779283016490445</v>
      </c>
      <c r="AY98" s="596">
        <v>0.92114647541509476</v>
      </c>
      <c r="BB98" s="386"/>
      <c r="BC98" s="386"/>
    </row>
    <row r="99" spans="2:55">
      <c r="B99" s="406" t="s">
        <v>719</v>
      </c>
      <c r="C99" s="366"/>
      <c r="D99" s="449" t="s">
        <v>683</v>
      </c>
      <c r="E99" s="432">
        <f>$AD79*$AF79*AH79</f>
        <v>351575280.12448704</v>
      </c>
      <c r="F99" s="432">
        <f>$AD79*$AF79*AI79</f>
        <v>0</v>
      </c>
      <c r="G99" s="432">
        <f t="shared" si="111"/>
        <v>0</v>
      </c>
      <c r="H99" s="432">
        <f t="shared" si="111"/>
        <v>0</v>
      </c>
      <c r="I99" s="432">
        <f t="shared" si="111"/>
        <v>0</v>
      </c>
      <c r="J99" s="432">
        <f t="shared" si="111"/>
        <v>0</v>
      </c>
      <c r="K99" s="700">
        <f t="shared" si="111"/>
        <v>0</v>
      </c>
      <c r="L99" s="700">
        <f t="shared" si="111"/>
        <v>0</v>
      </c>
      <c r="M99" s="700">
        <f t="shared" si="111"/>
        <v>0</v>
      </c>
      <c r="N99" s="700">
        <f t="shared" si="111"/>
        <v>0</v>
      </c>
      <c r="O99" s="700">
        <f t="shared" si="111"/>
        <v>0</v>
      </c>
      <c r="P99" s="556">
        <f t="shared" si="119"/>
        <v>0</v>
      </c>
      <c r="Q99" s="556">
        <f t="shared" si="119"/>
        <v>0</v>
      </c>
      <c r="R99" s="556">
        <f t="shared" si="119"/>
        <v>0</v>
      </c>
      <c r="S99" s="599">
        <f t="shared" si="119"/>
        <v>0</v>
      </c>
      <c r="T99" s="599">
        <f t="shared" ref="T99:U99" si="123">$AD79*$AF79*AW79</f>
        <v>0</v>
      </c>
      <c r="U99" s="599">
        <f t="shared" si="123"/>
        <v>0</v>
      </c>
      <c r="AN99" s="370">
        <v>4</v>
      </c>
      <c r="AO99" s="596">
        <v>1.0822699462633434</v>
      </c>
      <c r="AP99" s="596">
        <v>0.64753302425728398</v>
      </c>
      <c r="AQ99" s="596">
        <v>0.36401731527611236</v>
      </c>
      <c r="AR99" s="596">
        <v>0.12600486341714656</v>
      </c>
      <c r="AS99" s="596"/>
      <c r="AT99" s="596">
        <v>0.80463518252636634</v>
      </c>
      <c r="AU99" s="596"/>
      <c r="AV99" s="596">
        <v>0.43752450679978061</v>
      </c>
      <c r="AW99" s="596">
        <v>0.53395915397141192</v>
      </c>
      <c r="AX99" s="596">
        <v>3.779283016490445</v>
      </c>
      <c r="AY99" s="596">
        <v>0.92114647541509476</v>
      </c>
      <c r="BB99" s="386"/>
      <c r="BC99" s="386"/>
    </row>
    <row r="100" spans="2:55">
      <c r="B100" s="876" t="s">
        <v>21</v>
      </c>
      <c r="D100" s="449" t="s">
        <v>683</v>
      </c>
      <c r="F100" s="432">
        <f>$AD80*$AF80*AI80</f>
        <v>0</v>
      </c>
      <c r="G100" s="432">
        <f t="shared" ref="G100:U100" si="124">$AD80*$AF80*AJ80</f>
        <v>0</v>
      </c>
      <c r="H100" s="432">
        <f t="shared" si="124"/>
        <v>0</v>
      </c>
      <c r="I100" s="432">
        <f t="shared" si="124"/>
        <v>0</v>
      </c>
      <c r="J100" s="432">
        <f t="shared" si="124"/>
        <v>148653629.95305425</v>
      </c>
      <c r="K100" s="432">
        <f t="shared" si="124"/>
        <v>128027024.73926823</v>
      </c>
      <c r="L100" s="432">
        <f t="shared" si="124"/>
        <v>109314355.34986989</v>
      </c>
      <c r="M100" s="432">
        <f t="shared" si="124"/>
        <v>100644989.80827229</v>
      </c>
      <c r="N100" s="432">
        <f t="shared" si="124"/>
        <v>0</v>
      </c>
      <c r="O100" s="432">
        <f t="shared" si="124"/>
        <v>0</v>
      </c>
      <c r="P100" s="432">
        <f t="shared" si="124"/>
        <v>0</v>
      </c>
      <c r="Q100" s="432">
        <f t="shared" si="124"/>
        <v>0</v>
      </c>
      <c r="R100" s="432">
        <f t="shared" si="124"/>
        <v>4213378.4689214686</v>
      </c>
      <c r="S100" s="432">
        <f t="shared" si="124"/>
        <v>10306146.990692645</v>
      </c>
      <c r="T100" s="432">
        <f t="shared" si="124"/>
        <v>11078755.803746514</v>
      </c>
      <c r="U100" s="432">
        <f t="shared" si="124"/>
        <v>17498131.135877535</v>
      </c>
      <c r="AN100" s="370">
        <v>4.5</v>
      </c>
      <c r="AO100" s="596">
        <v>1.1660290392765578</v>
      </c>
      <c r="AP100" s="596">
        <v>0.72621447042039078</v>
      </c>
      <c r="AQ100" s="596">
        <v>0.44007182915762566</v>
      </c>
      <c r="AR100" s="596">
        <v>0.20450253623524448</v>
      </c>
      <c r="AS100" s="596"/>
      <c r="AT100" s="596">
        <v>0.85876993017150405</v>
      </c>
      <c r="AU100" s="596"/>
      <c r="AV100" s="596">
        <v>0.49507761006071443</v>
      </c>
      <c r="AW100" s="596">
        <v>0.56157368431534005</v>
      </c>
      <c r="AX100" s="596">
        <v>3.779283016490445</v>
      </c>
      <c r="AY100" s="596">
        <v>0.92114647541509476</v>
      </c>
      <c r="BB100" s="386"/>
      <c r="BC100" s="386"/>
    </row>
    <row r="101" spans="2:55">
      <c r="B101" s="367" t="s">
        <v>768</v>
      </c>
      <c r="C101" s="377"/>
      <c r="D101" s="449"/>
      <c r="E101" s="407"/>
      <c r="F101" s="407"/>
      <c r="G101" s="407"/>
      <c r="H101" s="407"/>
      <c r="I101" s="407"/>
      <c r="J101" s="407"/>
      <c r="K101" s="701"/>
      <c r="L101" s="701"/>
      <c r="M101" s="701"/>
      <c r="N101" s="701"/>
      <c r="O101" s="701"/>
      <c r="P101" s="557"/>
      <c r="Q101" s="557"/>
      <c r="R101" s="557"/>
      <c r="S101" s="600"/>
      <c r="T101" s="600"/>
      <c r="U101" s="600"/>
      <c r="AN101" s="370">
        <v>5</v>
      </c>
      <c r="AO101" s="596">
        <v>1.2497881322897721</v>
      </c>
      <c r="AP101" s="596">
        <v>0.80489591658349735</v>
      </c>
      <c r="AQ101" s="596">
        <v>0.51612634303913896</v>
      </c>
      <c r="AR101" s="596">
        <v>0.28300020905334239</v>
      </c>
      <c r="AS101" s="596"/>
      <c r="AT101" s="596">
        <v>0.91290467781664153</v>
      </c>
      <c r="AU101" s="596"/>
      <c r="AV101" s="596">
        <v>0.55263071332164826</v>
      </c>
      <c r="AW101" s="596">
        <v>0.58918821465926829</v>
      </c>
      <c r="AX101" s="596">
        <v>3.779283016490445</v>
      </c>
      <c r="AY101" s="596">
        <v>0.92114647541509476</v>
      </c>
      <c r="BB101" s="414"/>
      <c r="BC101" s="386"/>
    </row>
    <row r="102" spans="2:55">
      <c r="B102" s="368" t="s">
        <v>879</v>
      </c>
      <c r="C102" s="369"/>
      <c r="D102" s="449" t="s">
        <v>664</v>
      </c>
      <c r="E102" s="502" t="e">
        <f t="shared" ref="E102:N102" si="125">E94/AH73</f>
        <v>#REF!</v>
      </c>
      <c r="F102" s="502">
        <f t="shared" si="125"/>
        <v>1.2855044594477407</v>
      </c>
      <c r="G102" s="502">
        <f t="shared" si="125"/>
        <v>0.9107176880177994</v>
      </c>
      <c r="H102" s="502">
        <f t="shared" si="125"/>
        <v>0.68818869353721945</v>
      </c>
      <c r="I102" s="502">
        <f t="shared" si="125"/>
        <v>0.54785595991954228</v>
      </c>
      <c r="J102" s="502">
        <f t="shared" si="125"/>
        <v>1.3197427635597834</v>
      </c>
      <c r="K102" s="702">
        <f t="shared" si="125"/>
        <v>0.9479884282936798</v>
      </c>
      <c r="L102" s="702">
        <f t="shared" si="125"/>
        <v>0.72075113954479419</v>
      </c>
      <c r="M102" s="702">
        <f t="shared" si="125"/>
        <v>0.57957672528293669</v>
      </c>
      <c r="N102" s="702">
        <f t="shared" si="125"/>
        <v>1.79515794682059</v>
      </c>
      <c r="O102" s="702"/>
      <c r="P102" s="502">
        <f t="shared" ref="P102:U102" si="126">P94/AS73</f>
        <v>1.034743451652977</v>
      </c>
      <c r="Q102" s="502">
        <f t="shared" si="126"/>
        <v>0.86803480535449062</v>
      </c>
      <c r="R102" s="502">
        <f t="shared" si="126"/>
        <v>1.7970566827527628</v>
      </c>
      <c r="S102" s="613">
        <f t="shared" si="126"/>
        <v>1.332803818777909</v>
      </c>
      <c r="T102" s="613">
        <f t="shared" si="126"/>
        <v>1.0497812879490616</v>
      </c>
      <c r="U102" s="613">
        <f t="shared" si="126"/>
        <v>0.89988043149700581</v>
      </c>
      <c r="AO102" s="596"/>
      <c r="AP102" s="596"/>
      <c r="AQ102" s="596"/>
      <c r="AR102" s="596"/>
      <c r="AS102" s="596"/>
      <c r="AT102" s="596"/>
      <c r="AU102" s="596"/>
      <c r="AV102" s="596"/>
      <c r="BB102" s="414"/>
      <c r="BC102" s="386"/>
    </row>
    <row r="103" spans="2:55">
      <c r="B103" s="406" t="s">
        <v>629</v>
      </c>
      <c r="C103" s="377"/>
      <c r="D103" s="449" t="s">
        <v>664</v>
      </c>
      <c r="E103" s="416">
        <f t="shared" ref="E103:N103" si="127">$AD$74</f>
        <v>1.4239999999999999</v>
      </c>
      <c r="F103" s="416">
        <f t="shared" si="127"/>
        <v>1.4239999999999999</v>
      </c>
      <c r="G103" s="416">
        <f t="shared" si="127"/>
        <v>1.4239999999999999</v>
      </c>
      <c r="H103" s="416">
        <f t="shared" si="127"/>
        <v>1.4239999999999999</v>
      </c>
      <c r="I103" s="416">
        <f t="shared" si="127"/>
        <v>1.4239999999999999</v>
      </c>
      <c r="J103" s="416">
        <f t="shared" si="127"/>
        <v>1.4239999999999999</v>
      </c>
      <c r="K103" s="703">
        <f t="shared" si="127"/>
        <v>1.4239999999999999</v>
      </c>
      <c r="L103" s="703">
        <f t="shared" si="127"/>
        <v>1.4239999999999999</v>
      </c>
      <c r="M103" s="703">
        <f t="shared" si="127"/>
        <v>1.4239999999999999</v>
      </c>
      <c r="N103" s="703">
        <f t="shared" si="127"/>
        <v>1.4239999999999999</v>
      </c>
      <c r="O103" s="703"/>
      <c r="P103" s="558">
        <f>$AD$74</f>
        <v>1.4239999999999999</v>
      </c>
      <c r="Q103" s="558">
        <f>$AD$74</f>
        <v>1.4239999999999999</v>
      </c>
      <c r="R103" s="558">
        <f>$AD$74</f>
        <v>1.4239999999999999</v>
      </c>
      <c r="S103" s="601">
        <f>$AD$74</f>
        <v>1.4239999999999999</v>
      </c>
      <c r="T103" s="601">
        <f t="shared" ref="T103:U103" si="128">$AD$74</f>
        <v>1.4239999999999999</v>
      </c>
      <c r="U103" s="601">
        <f t="shared" si="128"/>
        <v>1.4239999999999999</v>
      </c>
      <c r="AN103" s="43"/>
      <c r="BB103" s="414"/>
      <c r="BC103" s="386"/>
    </row>
    <row r="104" spans="2:55">
      <c r="B104" s="406" t="s">
        <v>688</v>
      </c>
      <c r="C104" s="377"/>
      <c r="D104" s="449" t="s">
        <v>664</v>
      </c>
      <c r="E104" s="416">
        <f t="shared" ref="E104:N104" si="129">$AD$76</f>
        <v>0.48207230769230758</v>
      </c>
      <c r="F104" s="416">
        <f t="shared" si="129"/>
        <v>0.48207230769230758</v>
      </c>
      <c r="G104" s="416">
        <f t="shared" si="129"/>
        <v>0.48207230769230758</v>
      </c>
      <c r="H104" s="416">
        <f t="shared" si="129"/>
        <v>0.48207230769230758</v>
      </c>
      <c r="I104" s="416">
        <f t="shared" si="129"/>
        <v>0.48207230769230758</v>
      </c>
      <c r="J104" s="416">
        <f t="shared" si="129"/>
        <v>0.48207230769230758</v>
      </c>
      <c r="K104" s="703">
        <f t="shared" si="129"/>
        <v>0.48207230769230758</v>
      </c>
      <c r="L104" s="703">
        <f t="shared" si="129"/>
        <v>0.48207230769230758</v>
      </c>
      <c r="M104" s="703">
        <f t="shared" si="129"/>
        <v>0.48207230769230758</v>
      </c>
      <c r="N104" s="703">
        <f t="shared" si="129"/>
        <v>0.48207230769230758</v>
      </c>
      <c r="O104" s="703"/>
      <c r="P104" s="558">
        <f>$AD$76</f>
        <v>0.48207230769230758</v>
      </c>
      <c r="Q104" s="558">
        <f>$AD$76</f>
        <v>0.48207230769230758</v>
      </c>
      <c r="R104" s="558">
        <f>$AD$76</f>
        <v>0.48207230769230758</v>
      </c>
      <c r="S104" s="601">
        <f>$AD$76</f>
        <v>0.48207230769230758</v>
      </c>
      <c r="T104" s="601">
        <f t="shared" ref="T104:U104" si="130">$AD$76</f>
        <v>0.48207230769230758</v>
      </c>
      <c r="U104" s="601">
        <f t="shared" si="130"/>
        <v>0.48207230769230758</v>
      </c>
      <c r="AN104" s="391"/>
    </row>
    <row r="105" spans="2:55">
      <c r="B105" s="406" t="s">
        <v>625</v>
      </c>
      <c r="C105" s="377"/>
      <c r="D105" s="449" t="s">
        <v>664</v>
      </c>
      <c r="E105" s="416">
        <f t="shared" ref="E105:N105" si="131">$AD$77</f>
        <v>0.62669399999999986</v>
      </c>
      <c r="F105" s="416">
        <f t="shared" si="131"/>
        <v>0.62669399999999986</v>
      </c>
      <c r="G105" s="416">
        <f t="shared" si="131"/>
        <v>0.62669399999999986</v>
      </c>
      <c r="H105" s="416">
        <f t="shared" si="131"/>
        <v>0.62669399999999986</v>
      </c>
      <c r="I105" s="416">
        <f t="shared" si="131"/>
        <v>0.62669399999999986</v>
      </c>
      <c r="J105" s="416">
        <f t="shared" si="131"/>
        <v>0.62669399999999986</v>
      </c>
      <c r="K105" s="703">
        <f t="shared" si="131"/>
        <v>0.62669399999999986</v>
      </c>
      <c r="L105" s="703">
        <f t="shared" si="131"/>
        <v>0.62669399999999986</v>
      </c>
      <c r="M105" s="703">
        <f t="shared" si="131"/>
        <v>0.62669399999999986</v>
      </c>
      <c r="N105" s="703">
        <f t="shared" si="131"/>
        <v>0.62669399999999986</v>
      </c>
      <c r="O105" s="703"/>
      <c r="P105" s="558">
        <f>$AD$77</f>
        <v>0.62669399999999986</v>
      </c>
      <c r="Q105" s="558">
        <f>$AD$77</f>
        <v>0.62669399999999986</v>
      </c>
      <c r="R105" s="558">
        <f>$AD$77</f>
        <v>0.62669399999999986</v>
      </c>
      <c r="S105" s="601">
        <f>$AD$77</f>
        <v>0.62669399999999986</v>
      </c>
      <c r="T105" s="601">
        <f t="shared" ref="T105:U105" si="132">$AD$77</f>
        <v>0.62669399999999986</v>
      </c>
      <c r="U105" s="601">
        <f t="shared" si="132"/>
        <v>0.62669399999999986</v>
      </c>
      <c r="AN105" s="391"/>
    </row>
    <row r="106" spans="2:55">
      <c r="B106" s="406" t="s">
        <v>779</v>
      </c>
      <c r="C106" s="377"/>
      <c r="D106" s="449" t="s">
        <v>664</v>
      </c>
      <c r="E106" s="416">
        <f t="shared" ref="E106:N106" si="133">$AD$78</f>
        <v>0.16303184288571695</v>
      </c>
      <c r="F106" s="416">
        <f t="shared" si="133"/>
        <v>0.16303184288571695</v>
      </c>
      <c r="G106" s="416">
        <f t="shared" si="133"/>
        <v>0.16303184288571695</v>
      </c>
      <c r="H106" s="416">
        <f t="shared" si="133"/>
        <v>0.16303184288571695</v>
      </c>
      <c r="I106" s="416">
        <f t="shared" si="133"/>
        <v>0.16303184288571695</v>
      </c>
      <c r="J106" s="416">
        <f t="shared" si="133"/>
        <v>0.16303184288571695</v>
      </c>
      <c r="K106" s="703">
        <f t="shared" si="133"/>
        <v>0.16303184288571695</v>
      </c>
      <c r="L106" s="703">
        <f t="shared" si="133"/>
        <v>0.16303184288571695</v>
      </c>
      <c r="M106" s="703">
        <f t="shared" si="133"/>
        <v>0.16303184288571695</v>
      </c>
      <c r="N106" s="703">
        <f t="shared" si="133"/>
        <v>0.16303184288571695</v>
      </c>
      <c r="O106" s="703"/>
      <c r="P106" s="558">
        <f>$AD$78</f>
        <v>0.16303184288571695</v>
      </c>
      <c r="Q106" s="558">
        <f>$AD$78</f>
        <v>0.16303184288571695</v>
      </c>
      <c r="R106" s="558">
        <f>$AD$78</f>
        <v>0.16303184288571695</v>
      </c>
      <c r="S106" s="601">
        <f>$AD$78</f>
        <v>0.16303184288571695</v>
      </c>
      <c r="T106" s="601">
        <f t="shared" ref="T106:U106" si="134">$AD$78</f>
        <v>0.16303184288571695</v>
      </c>
      <c r="U106" s="601">
        <f t="shared" si="134"/>
        <v>0.16303184288571695</v>
      </c>
      <c r="AN106" s="348"/>
      <c r="AO106" s="379"/>
      <c r="AP106" s="379"/>
      <c r="AQ106" s="379"/>
      <c r="AR106" s="379"/>
      <c r="AS106" s="379"/>
      <c r="AT106" s="379"/>
      <c r="AU106" s="379"/>
      <c r="AV106" s="379"/>
      <c r="AW106" s="379"/>
      <c r="AX106" s="379"/>
      <c r="AY106" s="379"/>
    </row>
    <row r="107" spans="2:55" ht="17.25" thickBot="1">
      <c r="B107" s="417" t="s">
        <v>719</v>
      </c>
      <c r="C107" s="418"/>
      <c r="D107" s="450" t="s">
        <v>664</v>
      </c>
      <c r="E107" s="419">
        <f t="shared" ref="E107:N107" si="135">$AD$79</f>
        <v>0.62075000000000002</v>
      </c>
      <c r="F107" s="419">
        <f t="shared" si="135"/>
        <v>0.62075000000000002</v>
      </c>
      <c r="G107" s="419">
        <f t="shared" si="135"/>
        <v>0.62075000000000002</v>
      </c>
      <c r="H107" s="419">
        <f t="shared" si="135"/>
        <v>0.62075000000000002</v>
      </c>
      <c r="I107" s="419">
        <f t="shared" si="135"/>
        <v>0.62075000000000002</v>
      </c>
      <c r="J107" s="419">
        <f t="shared" si="135"/>
        <v>0.62075000000000002</v>
      </c>
      <c r="K107" s="704">
        <f t="shared" si="135"/>
        <v>0.62075000000000002</v>
      </c>
      <c r="L107" s="704">
        <f t="shared" si="135"/>
        <v>0.62075000000000002</v>
      </c>
      <c r="M107" s="704">
        <f t="shared" si="135"/>
        <v>0.62075000000000002</v>
      </c>
      <c r="N107" s="704">
        <f t="shared" si="135"/>
        <v>0.62075000000000002</v>
      </c>
      <c r="O107" s="704"/>
      <c r="P107" s="559">
        <f>$AD$79</f>
        <v>0.62075000000000002</v>
      </c>
      <c r="Q107" s="559">
        <f>$AD$79</f>
        <v>0.62075000000000002</v>
      </c>
      <c r="R107" s="559">
        <f>$AD$79</f>
        <v>0.62075000000000002</v>
      </c>
      <c r="S107" s="602">
        <f>$AD$79</f>
        <v>0.62075000000000002</v>
      </c>
      <c r="T107" s="602">
        <f t="shared" ref="T107:U107" si="136">$AD$79</f>
        <v>0.62075000000000002</v>
      </c>
      <c r="U107" s="602">
        <f t="shared" si="136"/>
        <v>0.62075000000000002</v>
      </c>
      <c r="AN107" s="619" t="s">
        <v>1055</v>
      </c>
      <c r="AO107" s="370" t="s">
        <v>1037</v>
      </c>
      <c r="AP107" s="370" t="s">
        <v>1036</v>
      </c>
      <c r="AQ107" s="370" t="s">
        <v>1035</v>
      </c>
      <c r="AR107" s="370" t="s">
        <v>1034</v>
      </c>
      <c r="AT107" s="573" t="s">
        <v>1053</v>
      </c>
      <c r="AV107" s="370" t="s">
        <v>923</v>
      </c>
      <c r="AW107" s="370" t="s">
        <v>925</v>
      </c>
      <c r="AX107" s="370" t="s">
        <v>1038</v>
      </c>
      <c r="AY107" s="370" t="s">
        <v>1046</v>
      </c>
    </row>
    <row r="108" spans="2:55">
      <c r="E108" s="594"/>
      <c r="F108" s="594"/>
      <c r="G108" s="594"/>
      <c r="H108" s="594"/>
      <c r="I108" s="594"/>
      <c r="J108" s="594"/>
      <c r="K108" s="594"/>
      <c r="L108" s="594"/>
      <c r="M108" s="594"/>
      <c r="N108" s="706"/>
      <c r="O108" s="706"/>
      <c r="P108" s="543"/>
      <c r="Q108" s="543"/>
      <c r="R108" s="609"/>
      <c r="S108" s="609"/>
      <c r="T108" s="492"/>
      <c r="U108" s="492"/>
      <c r="AN108" s="370">
        <v>1</v>
      </c>
      <c r="AO108" s="596">
        <v>1.524597186266244</v>
      </c>
      <c r="AP108" s="596">
        <v>1.1630748783968414</v>
      </c>
      <c r="AQ108" s="596">
        <v>0.920437379566166</v>
      </c>
      <c r="AR108" s="596">
        <v>0.75121749081973088</v>
      </c>
      <c r="AS108" s="596"/>
      <c r="AT108" s="596">
        <v>1.4654176806814727</v>
      </c>
      <c r="AU108" s="596"/>
      <c r="AV108" s="596">
        <v>0.35349697603881752</v>
      </c>
      <c r="AW108" s="596">
        <v>0.49364193966927694</v>
      </c>
      <c r="AX108" s="596">
        <v>3.779283016490445</v>
      </c>
      <c r="AY108" s="596">
        <v>0.92114647541509476</v>
      </c>
    </row>
    <row r="109" spans="2:55">
      <c r="B109" s="522" t="s">
        <v>892</v>
      </c>
      <c r="E109" s="370" t="s">
        <v>773</v>
      </c>
      <c r="F109" s="315" t="s">
        <v>1147</v>
      </c>
      <c r="G109" s="315" t="s">
        <v>1148</v>
      </c>
      <c r="H109" s="315" t="s">
        <v>1149</v>
      </c>
      <c r="I109" s="315" t="s">
        <v>1150</v>
      </c>
      <c r="J109" s="841" t="s">
        <v>1164</v>
      </c>
      <c r="K109" s="842" t="s">
        <v>1166</v>
      </c>
      <c r="L109" s="842" t="s">
        <v>1167</v>
      </c>
      <c r="M109" s="842" t="s">
        <v>1168</v>
      </c>
      <c r="N109" s="843" t="s">
        <v>1172</v>
      </c>
      <c r="O109" s="843" t="s">
        <v>1174</v>
      </c>
      <c r="P109" s="844" t="s">
        <v>1176</v>
      </c>
      <c r="Q109" s="844" t="s">
        <v>1178</v>
      </c>
      <c r="R109" s="845" t="s">
        <v>1180</v>
      </c>
      <c r="S109" s="845" t="s">
        <v>1182</v>
      </c>
      <c r="T109" s="845" t="s">
        <v>1184</v>
      </c>
      <c r="U109" s="845" t="s">
        <v>1186</v>
      </c>
      <c r="AN109" s="370">
        <v>1.5</v>
      </c>
      <c r="AO109" s="596">
        <v>1.4288996412150246</v>
      </c>
      <c r="AP109" s="596">
        <v>1.0562245791531646</v>
      </c>
      <c r="AQ109" s="596">
        <v>0.80730862455649421</v>
      </c>
      <c r="AR109" s="596">
        <v>0.62582440103718728</v>
      </c>
      <c r="AS109" s="596"/>
      <c r="AT109" s="596">
        <v>1.340024590898929</v>
      </c>
      <c r="AU109" s="596"/>
      <c r="AV109" s="596">
        <v>0.35349697603881752</v>
      </c>
      <c r="AW109" s="596">
        <v>0.49364193966927694</v>
      </c>
      <c r="AX109" s="596">
        <v>3.779283016490445</v>
      </c>
      <c r="AY109" s="596">
        <v>0.92114647541509476</v>
      </c>
    </row>
    <row r="110" spans="2:55">
      <c r="D110" s="370" t="s">
        <v>893</v>
      </c>
      <c r="E110" s="493" t="e">
        <f t="shared" ref="E110:N110" si="137">E83/E71*E37</f>
        <v>#REF!</v>
      </c>
      <c r="F110" s="493">
        <f t="shared" si="137"/>
        <v>0.18536935359618034</v>
      </c>
      <c r="G110" s="493">
        <f t="shared" si="137"/>
        <v>0.13367610909861921</v>
      </c>
      <c r="H110" s="493">
        <f t="shared" si="137"/>
        <v>0.10359915937598196</v>
      </c>
      <c r="I110" s="493">
        <f t="shared" si="137"/>
        <v>7.873072677583795E-2</v>
      </c>
      <c r="J110" s="493">
        <f t="shared" si="137"/>
        <v>0.18992261901143268</v>
      </c>
      <c r="K110" s="707">
        <f t="shared" si="137"/>
        <v>0.13937724455054801</v>
      </c>
      <c r="L110" s="707">
        <f t="shared" si="137"/>
        <v>0.10844420818786356</v>
      </c>
      <c r="M110" s="707">
        <f t="shared" si="137"/>
        <v>8.3826996562313655E-2</v>
      </c>
      <c r="N110" s="707">
        <f t="shared" si="137"/>
        <v>0.21664788325949955</v>
      </c>
      <c r="O110" s="707"/>
      <c r="P110" s="610">
        <f>P83/P71*P37</f>
        <v>0.12880620826335828</v>
      </c>
      <c r="Q110" s="610">
        <f>Q83/Q71*Q37</f>
        <v>0.10514294673061698</v>
      </c>
      <c r="R110" s="610">
        <f>R83/R71*R37</f>
        <v>0.2173494843698171</v>
      </c>
      <c r="S110" s="610">
        <f>S83/S71*S37</f>
        <v>0.16195415949490616</v>
      </c>
      <c r="T110" s="385"/>
      <c r="AN110" s="370">
        <v>2</v>
      </c>
      <c r="AO110" s="596">
        <v>1.3332020961638051</v>
      </c>
      <c r="AP110" s="596">
        <v>0.94937427990948775</v>
      </c>
      <c r="AQ110" s="596">
        <v>0.69417986954682265</v>
      </c>
      <c r="AR110" s="596">
        <v>0.50043131125464368</v>
      </c>
      <c r="AS110" s="596"/>
      <c r="AT110" s="596">
        <v>1.2146315011163855</v>
      </c>
      <c r="AU110" s="596"/>
      <c r="AV110" s="596">
        <v>0.35349697603881752</v>
      </c>
      <c r="AW110" s="596">
        <v>0.49364193966927694</v>
      </c>
      <c r="AX110" s="596">
        <v>3.779283016490445</v>
      </c>
      <c r="AY110" s="596">
        <v>0.92114647541509476</v>
      </c>
    </row>
    <row r="111" spans="2:55">
      <c r="D111" s="370" t="s">
        <v>894</v>
      </c>
      <c r="E111" s="493" t="e">
        <f t="shared" ref="E111:N111" si="138">E83/E71*E41</f>
        <v>#REF!</v>
      </c>
      <c r="F111" s="493">
        <f t="shared" si="138"/>
        <v>0.30891980606075053</v>
      </c>
      <c r="G111" s="493">
        <f t="shared" si="138"/>
        <v>0.2406728301055002</v>
      </c>
      <c r="H111" s="493">
        <f t="shared" si="138"/>
        <v>0.19073924336191991</v>
      </c>
      <c r="I111" s="493">
        <f t="shared" si="138"/>
        <v>0.15321052645478761</v>
      </c>
      <c r="J111" s="493">
        <f t="shared" si="138"/>
        <v>0.29095733694259318</v>
      </c>
      <c r="K111" s="707">
        <f t="shared" si="138"/>
        <v>0.22735408402913954</v>
      </c>
      <c r="L111" s="707">
        <f t="shared" si="138"/>
        <v>0.18155539964867501</v>
      </c>
      <c r="M111" s="707">
        <f t="shared" si="138"/>
        <v>0.1471553678399691</v>
      </c>
      <c r="N111" s="707">
        <f t="shared" si="138"/>
        <v>0.19035597780500038</v>
      </c>
      <c r="O111" s="707"/>
      <c r="P111" s="610">
        <f>P83/P71*P41</f>
        <v>0.15990753885433381</v>
      </c>
      <c r="Q111" s="610">
        <f>Q83/Q71*Q41</f>
        <v>0.14677394525189327</v>
      </c>
      <c r="R111" s="610">
        <f>R83/R71*R41</f>
        <v>0.19010321448200587</v>
      </c>
      <c r="S111" s="610">
        <f>S83/S71*S41</f>
        <v>0.17641271403648742</v>
      </c>
      <c r="T111" s="385"/>
      <c r="AN111" s="370">
        <v>2.5</v>
      </c>
      <c r="AO111" s="596">
        <v>1.2375045511125859</v>
      </c>
      <c r="AP111" s="596">
        <v>0.84252398066581091</v>
      </c>
      <c r="AQ111" s="596">
        <v>0.58105111453715086</v>
      </c>
      <c r="AR111" s="596">
        <v>0.37503822147210009</v>
      </c>
      <c r="AS111" s="596"/>
      <c r="AT111" s="596">
        <v>1.089238411333842</v>
      </c>
      <c r="AU111" s="596"/>
      <c r="AV111" s="596">
        <v>0.35349697603881752</v>
      </c>
      <c r="AW111" s="596">
        <v>0.49364193966927694</v>
      </c>
      <c r="AX111" s="596">
        <v>3.779283016490445</v>
      </c>
      <c r="AY111" s="596">
        <v>0.92114647541509476</v>
      </c>
    </row>
    <row r="112" spans="2:55">
      <c r="B112" s="370">
        <f>F112/I112</f>
        <v>3.0681485616671047</v>
      </c>
      <c r="D112" s="370" t="s">
        <v>662</v>
      </c>
      <c r="E112" s="493" t="e">
        <f t="shared" ref="E112:N112" si="139">E83/E71*E49</f>
        <v>#REF!</v>
      </c>
      <c r="F112" s="493">
        <f t="shared" si="139"/>
        <v>0.64435775923442895</v>
      </c>
      <c r="G112" s="493">
        <f t="shared" si="139"/>
        <v>0.41403448834529533</v>
      </c>
      <c r="H112" s="493">
        <f t="shared" si="139"/>
        <v>0.28217191369283268</v>
      </c>
      <c r="I112" s="493">
        <f t="shared" si="139"/>
        <v>0.21001517569420161</v>
      </c>
      <c r="J112" s="493">
        <f t="shared" si="139"/>
        <v>0.68238513060555628</v>
      </c>
      <c r="K112" s="707">
        <f t="shared" si="139"/>
        <v>0.44851470281860195</v>
      </c>
      <c r="L112" s="707">
        <f t="shared" si="139"/>
        <v>0.30946968264540059</v>
      </c>
      <c r="M112" s="707">
        <f t="shared" si="139"/>
        <v>0.23216409758700474</v>
      </c>
      <c r="N112" s="707">
        <f t="shared" si="139"/>
        <v>1.2276593798496542</v>
      </c>
      <c r="O112" s="707"/>
      <c r="P112" s="610">
        <f>P83/P71*P49</f>
        <v>0.62812865418719988</v>
      </c>
      <c r="Q112" s="610">
        <f>Q83/Q71*Q49</f>
        <v>0.5063794991611299</v>
      </c>
      <c r="R112" s="610">
        <f>R83/R71*R49</f>
        <v>1.2284561888966865</v>
      </c>
      <c r="S112" s="610">
        <f>S83/S71*S49</f>
        <v>0.86151001705439556</v>
      </c>
      <c r="T112" s="385"/>
      <c r="AN112" s="370">
        <v>3</v>
      </c>
      <c r="AO112" s="596">
        <v>1.1418070060613665</v>
      </c>
      <c r="AP112" s="596">
        <v>0.73567368142213418</v>
      </c>
      <c r="AQ112" s="596">
        <v>0.46792235952747885</v>
      </c>
      <c r="AR112" s="596">
        <v>0.24964513168955652</v>
      </c>
      <c r="AS112" s="596"/>
      <c r="AT112" s="596">
        <v>0.96384532155129832</v>
      </c>
      <c r="AU112" s="596"/>
      <c r="AV112" s="596">
        <v>0.35349697603881752</v>
      </c>
      <c r="AW112" s="596">
        <v>0.49364193966927694</v>
      </c>
      <c r="AX112" s="596">
        <v>3.779283016490445</v>
      </c>
      <c r="AY112" s="596">
        <v>0.92114647541509476</v>
      </c>
    </row>
    <row r="113" spans="2:51">
      <c r="D113" s="525" t="s">
        <v>895</v>
      </c>
      <c r="E113" s="493" t="e">
        <f t="shared" ref="E113:N113" si="140">E83/E71*E63</f>
        <v>#REF!</v>
      </c>
      <c r="F113" s="493">
        <f t="shared" si="140"/>
        <v>5.1796075728387792E-2</v>
      </c>
      <c r="G113" s="493">
        <f t="shared" si="140"/>
        <v>3.7351901679668918E-2</v>
      </c>
      <c r="H113" s="493">
        <f t="shared" si="140"/>
        <v>2.8947772651380974E-2</v>
      </c>
      <c r="I113" s="493">
        <f t="shared" si="140"/>
        <v>2.1999012280724373E-2</v>
      </c>
      <c r="J113" s="493">
        <f t="shared" si="140"/>
        <v>5.3068353349712577E-2</v>
      </c>
      <c r="K113" s="707">
        <f t="shared" si="140"/>
        <v>3.8944918205200921E-2</v>
      </c>
      <c r="L113" s="707">
        <f t="shared" si="140"/>
        <v>3.0301580658472847E-2</v>
      </c>
      <c r="M113" s="707">
        <f t="shared" si="140"/>
        <v>2.3423016684211866E-2</v>
      </c>
      <c r="N113" s="707">
        <f t="shared" si="140"/>
        <v>6.0535951331791148E-2</v>
      </c>
      <c r="O113" s="707"/>
      <c r="P113" s="610">
        <f>P83/P71*P63</f>
        <v>3.5991149497285983E-2</v>
      </c>
      <c r="Q113" s="610">
        <f>Q83/Q71*Q63</f>
        <v>2.9379139137684834E-2</v>
      </c>
      <c r="R113" s="610">
        <f>R83/R71*R63</f>
        <v>6.0731993361048557E-2</v>
      </c>
      <c r="S113" s="610">
        <f>S83/S71*S63</f>
        <v>4.5253380599253525E-2</v>
      </c>
      <c r="T113" s="385"/>
      <c r="AN113" s="370">
        <v>3.5</v>
      </c>
      <c r="AO113" s="596">
        <v>1.0461094610101471</v>
      </c>
      <c r="AP113" s="596">
        <v>0.62882338217845746</v>
      </c>
      <c r="AQ113" s="596">
        <v>0.35479360451780712</v>
      </c>
      <c r="AR113" s="596">
        <v>0.12425204190701292</v>
      </c>
      <c r="AS113" s="596"/>
      <c r="AT113" s="596">
        <v>0.83845223176875472</v>
      </c>
      <c r="AU113" s="596"/>
      <c r="AV113" s="596">
        <v>0.35349697603881752</v>
      </c>
      <c r="AW113" s="596">
        <v>0.49364193966927694</v>
      </c>
      <c r="AX113" s="596">
        <v>3.779283016490445</v>
      </c>
      <c r="AY113" s="596">
        <v>0.92114647541509476</v>
      </c>
    </row>
    <row r="114" spans="2:51">
      <c r="D114" s="370" t="s">
        <v>896</v>
      </c>
      <c r="E114" s="595">
        <f t="shared" ref="E114:N114" si="141">-(E73+E74)/AH$73</f>
        <v>-1.348324750814401</v>
      </c>
      <c r="F114" s="595">
        <f t="shared" si="141"/>
        <v>-0.54338673227228906</v>
      </c>
      <c r="G114" s="595">
        <f t="shared" si="141"/>
        <v>-0.6219591375194069</v>
      </c>
      <c r="H114" s="595">
        <f t="shared" si="141"/>
        <v>-0.68005809231960601</v>
      </c>
      <c r="I114" s="595">
        <f t="shared" si="141"/>
        <v>-0.7988051450451088</v>
      </c>
      <c r="J114" s="595">
        <f t="shared" si="141"/>
        <v>-0.54338673227228906</v>
      </c>
      <c r="K114" s="707">
        <f t="shared" si="141"/>
        <v>-0.6219591375194069</v>
      </c>
      <c r="L114" s="707">
        <f t="shared" si="141"/>
        <v>-0.68005809231960601</v>
      </c>
      <c r="M114" s="707">
        <f t="shared" si="141"/>
        <v>-0.7988051450451088</v>
      </c>
      <c r="N114" s="707">
        <f t="shared" si="141"/>
        <v>-0.5489172695743828</v>
      </c>
      <c r="O114" s="707"/>
      <c r="P114" s="610">
        <f>-(P73+P74)/AS$73</f>
        <v>-0.69661397659150426</v>
      </c>
      <c r="Q114" s="610">
        <f>-(Q73+Q74)/AT$73</f>
        <v>-0.79158445658498278</v>
      </c>
      <c r="R114" s="610">
        <f>-(R73+R74)/AU$73</f>
        <v>-0.5489172695743828</v>
      </c>
      <c r="S114" s="610">
        <f>-(S73+S74)/AV$73</f>
        <v>-0.63614688524854601</v>
      </c>
      <c r="T114" s="370"/>
      <c r="U114" s="370"/>
      <c r="AN114" s="370">
        <v>4</v>
      </c>
      <c r="AO114" s="596">
        <v>0.95041191595892782</v>
      </c>
      <c r="AP114" s="596">
        <v>0.52197308293478062</v>
      </c>
      <c r="AQ114" s="596">
        <v>0.24166484950813535</v>
      </c>
      <c r="AR114" s="596">
        <v>-1.141047875530665E-3</v>
      </c>
      <c r="AS114" s="596"/>
      <c r="AT114" s="596">
        <v>0.71305914198621112</v>
      </c>
      <c r="AU114" s="596"/>
      <c r="AV114" s="596">
        <v>0.35349697603881752</v>
      </c>
      <c r="AW114" s="596">
        <v>0.49364193966927694</v>
      </c>
      <c r="AX114" s="596">
        <v>3.779283016490445</v>
      </c>
      <c r="AY114" s="596">
        <v>0.92114647541509476</v>
      </c>
    </row>
    <row r="115" spans="2:51">
      <c r="D115" s="370" t="s">
        <v>897</v>
      </c>
      <c r="E115" s="595">
        <f t="shared" ref="E115:N122" si="142">-E75/AH$73</f>
        <v>-3.4158779750935966E-2</v>
      </c>
      <c r="F115" s="595">
        <f t="shared" si="142"/>
        <v>-5.4473214356303735E-3</v>
      </c>
      <c r="G115" s="595">
        <f t="shared" si="142"/>
        <v>-9.9114119070787907E-3</v>
      </c>
      <c r="H115" s="595">
        <f t="shared" si="142"/>
        <v>-1.6461272668873959E-2</v>
      </c>
      <c r="I115" s="595">
        <f t="shared" si="142"/>
        <v>-2.6203192210973836E-2</v>
      </c>
      <c r="J115" s="595">
        <f t="shared" si="142"/>
        <v>-5.4473214356303735E-3</v>
      </c>
      <c r="K115" s="707">
        <f t="shared" si="142"/>
        <v>-9.9114119070787907E-3</v>
      </c>
      <c r="L115" s="707">
        <f t="shared" si="142"/>
        <v>-1.6461272668873959E-2</v>
      </c>
      <c r="M115" s="707">
        <f t="shared" si="142"/>
        <v>-2.6203192210973836E-2</v>
      </c>
      <c r="N115" s="707">
        <f t="shared" si="142"/>
        <v>-5.4470122058495425E-3</v>
      </c>
      <c r="O115" s="707"/>
      <c r="P115" s="610">
        <f t="shared" ref="P115:S122" si="143">-P75/AS$73</f>
        <v>-1.6457344665347724E-2</v>
      </c>
      <c r="Q115" s="610">
        <f t="shared" si="143"/>
        <v>-2.580651506591446E-2</v>
      </c>
      <c r="R115" s="610">
        <f t="shared" si="143"/>
        <v>-5.4470122058495425E-3</v>
      </c>
      <c r="S115" s="610">
        <f t="shared" si="143"/>
        <v>-9.9099522281892137E-3</v>
      </c>
      <c r="T115" s="370"/>
      <c r="U115" s="370"/>
      <c r="AN115" s="370">
        <v>4.5</v>
      </c>
      <c r="AO115" s="596">
        <v>0.85471437090770852</v>
      </c>
      <c r="AP115" s="596">
        <v>0.41512278369110378</v>
      </c>
      <c r="AQ115" s="596">
        <v>0.12853609449846348</v>
      </c>
      <c r="AR115" s="596">
        <v>-0.12653413765807398</v>
      </c>
      <c r="AS115" s="596"/>
      <c r="AT115" s="596">
        <v>0.58766605220366785</v>
      </c>
      <c r="AU115" s="596"/>
      <c r="AV115" s="596">
        <v>0.35349697603881752</v>
      </c>
      <c r="AW115" s="596">
        <v>0.49364193966927694</v>
      </c>
      <c r="AX115" s="596">
        <v>3.779283016490445</v>
      </c>
      <c r="AY115" s="596">
        <v>0.92114647541509476</v>
      </c>
    </row>
    <row r="116" spans="2:51">
      <c r="D116" s="370" t="s">
        <v>898</v>
      </c>
      <c r="E116" s="595">
        <f t="shared" si="142"/>
        <v>-0.11753915187443498</v>
      </c>
      <c r="F116" s="595">
        <f t="shared" si="142"/>
        <v>-5.8649306762133549E-2</v>
      </c>
      <c r="G116" s="595">
        <f t="shared" si="142"/>
        <v>-8.8842091617746671E-2</v>
      </c>
      <c r="H116" s="595">
        <f t="shared" si="142"/>
        <v>-0.12067877758769965</v>
      </c>
      <c r="I116" s="595">
        <f t="shared" si="142"/>
        <v>-0.1693999606986703</v>
      </c>
      <c r="J116" s="595">
        <f t="shared" si="142"/>
        <v>-5.8649306762133549E-2</v>
      </c>
      <c r="K116" s="707">
        <f t="shared" si="142"/>
        <v>-8.8842091617746671E-2</v>
      </c>
      <c r="L116" s="707">
        <f t="shared" si="142"/>
        <v>-0.12067877758769965</v>
      </c>
      <c r="M116" s="707">
        <f t="shared" si="142"/>
        <v>-0.1693999606986703</v>
      </c>
      <c r="N116" s="707">
        <f t="shared" si="142"/>
        <v>-5.864828554556599E-2</v>
      </c>
      <c r="O116" s="707"/>
      <c r="P116" s="610">
        <f t="shared" si="143"/>
        <v>-0.12067729329673949</v>
      </c>
      <c r="Q116" s="610">
        <f t="shared" si="143"/>
        <v>-0.16759314485219909</v>
      </c>
      <c r="R116" s="610">
        <f t="shared" si="143"/>
        <v>-5.864828554556599E-2</v>
      </c>
      <c r="S116" s="610">
        <f t="shared" si="143"/>
        <v>-8.8832275562334556E-2</v>
      </c>
      <c r="T116" s="370"/>
      <c r="U116" s="370"/>
    </row>
    <row r="117" spans="2:51">
      <c r="D117" s="370" t="s">
        <v>899</v>
      </c>
      <c r="E117" s="595">
        <f t="shared" si="142"/>
        <v>0</v>
      </c>
      <c r="F117" s="595">
        <f t="shared" si="142"/>
        <v>-1.6840268938956869E-2</v>
      </c>
      <c r="G117" s="595">
        <f t="shared" si="142"/>
        <v>-1.4043735345025217E-2</v>
      </c>
      <c r="H117" s="595">
        <f t="shared" si="142"/>
        <v>-1.4618084511545434E-2</v>
      </c>
      <c r="I117" s="595">
        <f t="shared" si="142"/>
        <v>-1.1382206538552033E-2</v>
      </c>
      <c r="J117" s="595">
        <f t="shared" si="142"/>
        <v>-1.6840268938956869E-2</v>
      </c>
      <c r="K117" s="707">
        <f t="shared" si="142"/>
        <v>-1.4043735345025217E-2</v>
      </c>
      <c r="L117" s="707">
        <f t="shared" si="142"/>
        <v>-1.4618084511545434E-2</v>
      </c>
      <c r="M117" s="707">
        <f t="shared" si="142"/>
        <v>-1.1382206538552033E-2</v>
      </c>
      <c r="N117" s="707">
        <f t="shared" si="142"/>
        <v>-1.6840592444180048E-2</v>
      </c>
      <c r="O117" s="707"/>
      <c r="P117" s="610">
        <f t="shared" si="143"/>
        <v>-1.4619162238952607E-2</v>
      </c>
      <c r="Q117" s="610">
        <f t="shared" si="143"/>
        <v>-1.6910939473865984E-2</v>
      </c>
      <c r="R117" s="610">
        <f t="shared" si="143"/>
        <v>-1.6840592444180048E-2</v>
      </c>
      <c r="S117" s="610">
        <f t="shared" si="143"/>
        <v>-1.4045826037937524E-2</v>
      </c>
      <c r="T117" s="493"/>
      <c r="U117" s="493"/>
      <c r="AO117" s="379"/>
      <c r="AP117" s="379"/>
      <c r="AQ117" s="379"/>
      <c r="AR117" s="379"/>
      <c r="AS117" s="379"/>
      <c r="AT117" s="379">
        <f>AT93</f>
        <v>1.6951991922459451</v>
      </c>
      <c r="AU117" s="379"/>
      <c r="AV117" s="379"/>
      <c r="AW117" s="379"/>
      <c r="AX117" s="379"/>
      <c r="AY117" s="379"/>
    </row>
    <row r="118" spans="2:51">
      <c r="D118" s="370" t="s">
        <v>900</v>
      </c>
      <c r="E118" s="595">
        <f t="shared" si="142"/>
        <v>-0.72200747023749923</v>
      </c>
      <c r="F118" s="595">
        <f t="shared" si="142"/>
        <v>0</v>
      </c>
      <c r="G118" s="595">
        <f t="shared" si="142"/>
        <v>0</v>
      </c>
      <c r="H118" s="595">
        <f t="shared" si="142"/>
        <v>0</v>
      </c>
      <c r="I118" s="595">
        <f t="shared" si="142"/>
        <v>0</v>
      </c>
      <c r="J118" s="595">
        <f t="shared" si="142"/>
        <v>0</v>
      </c>
      <c r="K118" s="707">
        <f t="shared" si="142"/>
        <v>0</v>
      </c>
      <c r="L118" s="707">
        <f t="shared" si="142"/>
        <v>0</v>
      </c>
      <c r="M118" s="707">
        <f t="shared" si="142"/>
        <v>0</v>
      </c>
      <c r="N118" s="707">
        <f t="shared" si="142"/>
        <v>0</v>
      </c>
      <c r="O118" s="707"/>
      <c r="P118" s="610">
        <f t="shared" si="143"/>
        <v>0</v>
      </c>
      <c r="Q118" s="610">
        <f t="shared" si="143"/>
        <v>0</v>
      </c>
      <c r="R118" s="610">
        <f t="shared" si="143"/>
        <v>0</v>
      </c>
      <c r="S118" s="610">
        <f t="shared" si="143"/>
        <v>0</v>
      </c>
      <c r="T118" s="493"/>
      <c r="U118" s="493"/>
      <c r="AN118" s="797" t="s">
        <v>1112</v>
      </c>
      <c r="AO118" s="370" t="s">
        <v>1037</v>
      </c>
      <c r="AP118" s="370" t="s">
        <v>1036</v>
      </c>
      <c r="AQ118" s="370" t="s">
        <v>1035</v>
      </c>
      <c r="AR118" s="370" t="s">
        <v>1034</v>
      </c>
      <c r="AS118" s="798" t="s">
        <v>1256</v>
      </c>
      <c r="AT118" s="798" t="s">
        <v>1257</v>
      </c>
      <c r="AU118" s="798" t="s">
        <v>1258</v>
      </c>
      <c r="AV118" s="798" t="s">
        <v>1053</v>
      </c>
    </row>
    <row r="119" spans="2:51">
      <c r="D119" s="525" t="s">
        <v>934</v>
      </c>
      <c r="E119" s="595">
        <f t="shared" si="142"/>
        <v>0</v>
      </c>
      <c r="F119" s="595">
        <f t="shared" si="142"/>
        <v>0</v>
      </c>
      <c r="G119" s="595">
        <f t="shared" si="142"/>
        <v>0</v>
      </c>
      <c r="H119" s="595">
        <f t="shared" si="142"/>
        <v>0</v>
      </c>
      <c r="I119" s="595">
        <f t="shared" si="142"/>
        <v>0</v>
      </c>
      <c r="J119" s="595">
        <f t="shared" si="142"/>
        <v>-0.12805075292903281</v>
      </c>
      <c r="K119" s="707">
        <f t="shared" si="142"/>
        <v>-0.11988664428572704</v>
      </c>
      <c r="L119" s="707">
        <f t="shared" si="142"/>
        <v>-0.10902534562583889</v>
      </c>
      <c r="M119" s="707">
        <f t="shared" si="142"/>
        <v>-0.11244904122060595</v>
      </c>
      <c r="N119" s="707">
        <f t="shared" si="142"/>
        <v>0</v>
      </c>
      <c r="O119" s="707"/>
      <c r="P119" s="610">
        <f t="shared" si="143"/>
        <v>0</v>
      </c>
      <c r="Q119" s="610">
        <f t="shared" si="143"/>
        <v>0</v>
      </c>
      <c r="R119" s="610">
        <f t="shared" si="143"/>
        <v>-3.6297053762384033E-3</v>
      </c>
      <c r="S119" s="610">
        <f t="shared" si="143"/>
        <v>-9.6540753554447134E-3</v>
      </c>
      <c r="T119" s="493"/>
      <c r="U119" s="493"/>
      <c r="AJ119" s="370">
        <v>1.1792670516174093</v>
      </c>
      <c r="AK119" s="370">
        <v>0.82329753775698422</v>
      </c>
      <c r="AL119" s="370">
        <v>0.59867673910038099</v>
      </c>
      <c r="AM119" s="370">
        <v>0.45072078165624474</v>
      </c>
      <c r="AN119" s="798">
        <v>0.03</v>
      </c>
      <c r="AO119" s="682">
        <v>1.321221015187994</v>
      </c>
      <c r="AP119" s="682">
        <v>0.93709440029124358</v>
      </c>
      <c r="AQ119" s="682">
        <v>0.68758543030878494</v>
      </c>
      <c r="AR119" s="682">
        <v>0.52747678072880588</v>
      </c>
      <c r="AS119" s="682">
        <v>0.90289526701075751</v>
      </c>
      <c r="AT119" s="370">
        <v>0.58361908420425324</v>
      </c>
      <c r="AU119" s="682">
        <v>0.39122287739594658</v>
      </c>
      <c r="AV119" s="682">
        <v>0.27108537831021984</v>
      </c>
      <c r="AW119" s="682"/>
      <c r="AX119" s="682"/>
      <c r="AY119" s="682"/>
    </row>
    <row r="120" spans="2:51">
      <c r="D120" s="525" t="s">
        <v>935</v>
      </c>
      <c r="E120" s="595">
        <f t="shared" si="142"/>
        <v>0</v>
      </c>
      <c r="F120" s="595">
        <f t="shared" si="142"/>
        <v>0</v>
      </c>
      <c r="G120" s="595">
        <f t="shared" si="142"/>
        <v>0</v>
      </c>
      <c r="H120" s="595">
        <f t="shared" si="142"/>
        <v>0</v>
      </c>
      <c r="I120" s="595">
        <f t="shared" si="142"/>
        <v>0</v>
      </c>
      <c r="J120" s="595">
        <f t="shared" si="142"/>
        <v>0</v>
      </c>
      <c r="K120" s="707">
        <f t="shared" si="142"/>
        <v>0</v>
      </c>
      <c r="L120" s="707">
        <f t="shared" si="142"/>
        <v>0</v>
      </c>
      <c r="M120" s="707">
        <f t="shared" si="142"/>
        <v>0</v>
      </c>
      <c r="N120" s="707">
        <f t="shared" si="142"/>
        <v>0</v>
      </c>
      <c r="O120" s="707"/>
      <c r="P120" s="610">
        <f t="shared" si="143"/>
        <v>0</v>
      </c>
      <c r="Q120" s="610">
        <f t="shared" si="143"/>
        <v>0</v>
      </c>
      <c r="R120" s="610">
        <f t="shared" si="143"/>
        <v>0</v>
      </c>
      <c r="S120" s="610">
        <f t="shared" si="143"/>
        <v>0</v>
      </c>
      <c r="T120" s="493"/>
      <c r="U120" s="493"/>
      <c r="AJ120" s="370">
        <v>1.1792670516174093</v>
      </c>
      <c r="AK120" s="370">
        <v>0.82329753775698422</v>
      </c>
      <c r="AL120" s="370">
        <v>0.59867673910038099</v>
      </c>
      <c r="AM120" s="370">
        <v>0.45072078165624474</v>
      </c>
      <c r="AN120" s="370">
        <v>0.04</v>
      </c>
      <c r="AO120" s="682">
        <v>1.321221015187994</v>
      </c>
      <c r="AP120" s="682">
        <v>0.93709440029124358</v>
      </c>
      <c r="AQ120" s="682">
        <v>0.68758543030878494</v>
      </c>
      <c r="AR120" s="682">
        <v>0.52747678072880588</v>
      </c>
      <c r="AS120" s="682">
        <v>1.1220532299671491</v>
      </c>
      <c r="AT120" s="370">
        <v>0.76548119118471802</v>
      </c>
      <c r="AU120" s="682">
        <v>0.5446784671288506</v>
      </c>
      <c r="AV120" s="682">
        <v>0.41327151493755865</v>
      </c>
      <c r="AW120" s="682"/>
      <c r="AX120" s="682"/>
      <c r="AY120" s="682"/>
    </row>
    <row r="121" spans="2:51">
      <c r="D121" s="573" t="s">
        <v>1051</v>
      </c>
      <c r="E121" s="595">
        <f t="shared" si="142"/>
        <v>0</v>
      </c>
      <c r="F121" s="595">
        <f t="shared" si="142"/>
        <v>0</v>
      </c>
      <c r="G121" s="595">
        <f t="shared" si="142"/>
        <v>0</v>
      </c>
      <c r="H121" s="595">
        <f t="shared" si="142"/>
        <v>0</v>
      </c>
      <c r="I121" s="595">
        <f t="shared" si="142"/>
        <v>0</v>
      </c>
      <c r="J121" s="595">
        <f t="shared" si="142"/>
        <v>0</v>
      </c>
      <c r="K121" s="707">
        <f t="shared" si="142"/>
        <v>0</v>
      </c>
      <c r="L121" s="707">
        <f t="shared" si="142"/>
        <v>0</v>
      </c>
      <c r="M121" s="707">
        <f t="shared" si="142"/>
        <v>0</v>
      </c>
      <c r="N121" s="707">
        <f t="shared" si="142"/>
        <v>0</v>
      </c>
      <c r="O121" s="707"/>
      <c r="P121" s="610">
        <f t="shared" si="143"/>
        <v>0</v>
      </c>
      <c r="Q121" s="610">
        <f t="shared" si="143"/>
        <v>0</v>
      </c>
      <c r="R121" s="610">
        <f t="shared" si="143"/>
        <v>0</v>
      </c>
      <c r="S121" s="610">
        <f t="shared" si="143"/>
        <v>0</v>
      </c>
      <c r="T121" s="493"/>
      <c r="U121" s="493"/>
      <c r="AJ121" s="370">
        <v>1.1792670516174093</v>
      </c>
      <c r="AK121" s="370">
        <v>0.82329753775698422</v>
      </c>
      <c r="AL121" s="370">
        <v>0.59867673910038099</v>
      </c>
      <c r="AM121" s="370">
        <v>0.45072078165624474</v>
      </c>
      <c r="AN121" s="798">
        <v>0.05</v>
      </c>
      <c r="AO121" s="682">
        <v>1.321221015187994</v>
      </c>
      <c r="AP121" s="682">
        <v>0.93709440029124358</v>
      </c>
      <c r="AQ121" s="682">
        <v>0.68758543030878494</v>
      </c>
      <c r="AR121" s="682">
        <v>0.52747678072880588</v>
      </c>
      <c r="AS121" s="682">
        <v>1.3412111929235411</v>
      </c>
      <c r="AT121" s="370">
        <v>0.94734329816518237</v>
      </c>
      <c r="AU121" s="682">
        <v>0.69813405686175456</v>
      </c>
      <c r="AV121" s="682">
        <v>0.55545765156489701</v>
      </c>
      <c r="AW121" s="682"/>
      <c r="AX121" s="682"/>
      <c r="AY121" s="682"/>
    </row>
    <row r="122" spans="2:51">
      <c r="D122" s="573" t="s">
        <v>1052</v>
      </c>
      <c r="E122" s="595">
        <f t="shared" si="142"/>
        <v>0</v>
      </c>
      <c r="F122" s="595">
        <f t="shared" si="142"/>
        <v>0</v>
      </c>
      <c r="G122" s="595">
        <f t="shared" si="142"/>
        <v>0</v>
      </c>
      <c r="H122" s="595">
        <f t="shared" si="142"/>
        <v>0</v>
      </c>
      <c r="I122" s="595">
        <f t="shared" si="142"/>
        <v>0</v>
      </c>
      <c r="J122" s="595">
        <f t="shared" si="142"/>
        <v>0</v>
      </c>
      <c r="K122" s="707">
        <f t="shared" si="142"/>
        <v>0</v>
      </c>
      <c r="L122" s="707">
        <f t="shared" si="142"/>
        <v>0</v>
      </c>
      <c r="M122" s="707">
        <f t="shared" si="142"/>
        <v>0</v>
      </c>
      <c r="N122" s="707">
        <f t="shared" si="142"/>
        <v>0</v>
      </c>
      <c r="O122" s="707"/>
      <c r="P122" s="610">
        <f t="shared" si="143"/>
        <v>0</v>
      </c>
      <c r="Q122" s="610">
        <f t="shared" si="143"/>
        <v>0</v>
      </c>
      <c r="R122" s="610">
        <f t="shared" si="143"/>
        <v>0</v>
      </c>
      <c r="S122" s="610">
        <f t="shared" si="143"/>
        <v>0</v>
      </c>
      <c r="T122" s="493"/>
      <c r="U122" s="493"/>
      <c r="AJ122" s="370">
        <v>1.1792670516174093</v>
      </c>
      <c r="AK122" s="370">
        <v>0.82329753775698422</v>
      </c>
      <c r="AL122" s="370">
        <v>0.59867673910038099</v>
      </c>
      <c r="AM122" s="370">
        <v>0.45072078165624474</v>
      </c>
      <c r="AN122" s="370">
        <v>0.06</v>
      </c>
      <c r="AO122" s="682">
        <v>1.321221015187994</v>
      </c>
      <c r="AP122" s="682">
        <v>0.93709440029124358</v>
      </c>
      <c r="AQ122" s="682">
        <v>0.68758543030878494</v>
      </c>
      <c r="AR122" s="682">
        <v>0.52747678072880588</v>
      </c>
      <c r="AS122" s="682">
        <v>1.5603691558799322</v>
      </c>
      <c r="AT122" s="370">
        <v>1.1292054051456462</v>
      </c>
      <c r="AU122" s="682">
        <v>0.85158964659465808</v>
      </c>
      <c r="AV122" s="682">
        <v>0.69764378819223583</v>
      </c>
      <c r="AW122" s="682"/>
      <c r="AX122" s="682"/>
      <c r="AY122" s="682"/>
    </row>
    <row r="123" spans="2:51">
      <c r="D123" s="370" t="s">
        <v>892</v>
      </c>
      <c r="E123" s="514" t="e">
        <f t="shared" ref="E123:N123" si="144">E83</f>
        <v>#REF!</v>
      </c>
      <c r="F123" s="514">
        <f t="shared" si="144"/>
        <v>1.1904429946197477</v>
      </c>
      <c r="G123" s="514">
        <f t="shared" si="144"/>
        <v>0.82573532922908377</v>
      </c>
      <c r="H123" s="514">
        <f t="shared" si="144"/>
        <v>0.60545808908211551</v>
      </c>
      <c r="I123" s="514">
        <f t="shared" si="144"/>
        <v>0.46395544120555154</v>
      </c>
      <c r="J123" s="514">
        <f t="shared" si="144"/>
        <v>1.2163334399092947</v>
      </c>
      <c r="K123" s="708">
        <f t="shared" si="144"/>
        <v>0.85419094960349051</v>
      </c>
      <c r="L123" s="708">
        <f t="shared" si="144"/>
        <v>0.62977087114041186</v>
      </c>
      <c r="M123" s="708">
        <f t="shared" si="144"/>
        <v>0.48656947867349937</v>
      </c>
      <c r="N123" s="708">
        <f t="shared" si="144"/>
        <v>1.6951991922459451</v>
      </c>
      <c r="O123" s="708"/>
      <c r="P123" s="611">
        <f>P83</f>
        <v>0.95283355080217802</v>
      </c>
      <c r="Q123" s="611">
        <f>Q83</f>
        <v>0.78767553028132498</v>
      </c>
      <c r="R123" s="611">
        <f>R83</f>
        <v>1.6966408811095581</v>
      </c>
      <c r="S123" s="611">
        <f>S83</f>
        <v>1.2451302711850425</v>
      </c>
      <c r="T123" s="493"/>
      <c r="U123" s="493"/>
      <c r="AJ123" s="370">
        <v>1.1792670516174093</v>
      </c>
      <c r="AK123" s="370">
        <v>0.82329753775698422</v>
      </c>
      <c r="AL123" s="370">
        <v>0.59867673910038099</v>
      </c>
      <c r="AM123" s="370">
        <v>0.45072078165624474</v>
      </c>
      <c r="AN123" s="798">
        <v>7.0000000000000007E-2</v>
      </c>
      <c r="AO123" s="682">
        <v>1.321221015187994</v>
      </c>
      <c r="AP123" s="682">
        <v>0.93709440029124358</v>
      </c>
      <c r="AQ123" s="682">
        <v>0.68758543030878494</v>
      </c>
      <c r="AR123" s="682">
        <v>0.52747678072880588</v>
      </c>
      <c r="AS123" s="682">
        <v>1.779527118836324</v>
      </c>
      <c r="AT123" s="370">
        <v>1.3110675121261111</v>
      </c>
      <c r="AU123" s="682">
        <v>1.0050452363275622</v>
      </c>
      <c r="AV123" s="682">
        <v>0.83982992481957475</v>
      </c>
      <c r="AW123" s="682"/>
      <c r="AX123" s="682"/>
      <c r="AY123" s="682"/>
    </row>
    <row r="124" spans="2:51">
      <c r="E124" s="594" t="e">
        <f>SUM(E110:E113)</f>
        <v>#REF!</v>
      </c>
      <c r="F124" s="594">
        <f t="shared" ref="F124:S124" si="145">SUM(F110:F113)</f>
        <v>1.1904429946197477</v>
      </c>
      <c r="G124" s="594">
        <f t="shared" si="145"/>
        <v>0.82573532922908366</v>
      </c>
      <c r="H124" s="594">
        <f t="shared" si="145"/>
        <v>0.60545808908211551</v>
      </c>
      <c r="I124" s="594">
        <f t="shared" si="145"/>
        <v>0.46395544120555154</v>
      </c>
      <c r="J124" s="594">
        <f t="shared" si="145"/>
        <v>1.2163334399092947</v>
      </c>
      <c r="K124" s="706">
        <f>SUM(K110:K113)</f>
        <v>0.8541909496034904</v>
      </c>
      <c r="L124" s="706">
        <f>SUM(L110:L113)</f>
        <v>0.62977087114041208</v>
      </c>
      <c r="M124" s="706">
        <f>SUM(M110:M113)</f>
        <v>0.48656947867349937</v>
      </c>
      <c r="N124" s="706">
        <f t="shared" si="145"/>
        <v>1.6951991922459453</v>
      </c>
      <c r="O124" s="706"/>
      <c r="P124" s="612">
        <f t="shared" si="145"/>
        <v>0.95283355080217791</v>
      </c>
      <c r="Q124" s="612">
        <f t="shared" si="145"/>
        <v>0.78767553028132509</v>
      </c>
      <c r="R124" s="612">
        <f t="shared" si="145"/>
        <v>1.6966408811095581</v>
      </c>
      <c r="S124" s="612">
        <f t="shared" si="145"/>
        <v>1.2451302711850427</v>
      </c>
      <c r="T124" s="493"/>
      <c r="U124" s="493"/>
      <c r="AJ124" s="370">
        <v>1.1792670516174093</v>
      </c>
      <c r="AK124" s="370">
        <v>0.82329753775698422</v>
      </c>
      <c r="AL124" s="370">
        <v>0.59867673910038099</v>
      </c>
      <c r="AM124" s="370">
        <v>0.45072078165624474</v>
      </c>
      <c r="AN124" s="370">
        <v>0.08</v>
      </c>
      <c r="AO124" s="682">
        <v>1.321221015187994</v>
      </c>
      <c r="AP124" s="682">
        <v>0.93709440029124358</v>
      </c>
      <c r="AQ124" s="682">
        <v>0.68758543030878494</v>
      </c>
      <c r="AR124" s="682">
        <v>0.52747678072880588</v>
      </c>
      <c r="AS124" s="682">
        <v>1.9986850817927155</v>
      </c>
      <c r="AT124" s="370">
        <v>1.4929296191065753</v>
      </c>
      <c r="AU124" s="682">
        <v>1.1585008260604661</v>
      </c>
      <c r="AV124" s="682">
        <v>0.98201606144691311</v>
      </c>
      <c r="AW124" s="682"/>
      <c r="AX124" s="682"/>
      <c r="AY124" s="682"/>
    </row>
    <row r="125" spans="2:51">
      <c r="E125" s="594" t="e">
        <f>E123-SUM(E114:E122)</f>
        <v>#REF!</v>
      </c>
      <c r="F125" s="594">
        <f t="shared" ref="F125:S125" si="146">F123-SUM(F114:F122)</f>
        <v>1.8147666240287577</v>
      </c>
      <c r="G125" s="594">
        <f t="shared" si="146"/>
        <v>1.5604917056183414</v>
      </c>
      <c r="H125" s="594">
        <f t="shared" si="146"/>
        <v>1.4372743161698405</v>
      </c>
      <c r="I125" s="594">
        <f t="shared" si="146"/>
        <v>1.4697459456988564</v>
      </c>
      <c r="J125" s="594">
        <f t="shared" si="146"/>
        <v>1.9687078222473373</v>
      </c>
      <c r="K125" s="706">
        <f>K123-SUM(K114:K122)</f>
        <v>1.7088339702784752</v>
      </c>
      <c r="L125" s="706">
        <f>L123-SUM(L114:L122)</f>
        <v>1.5706124438539759</v>
      </c>
      <c r="M125" s="706">
        <f>M123-SUM(M114:M122)</f>
        <v>1.6048090243874102</v>
      </c>
      <c r="N125" s="706">
        <f t="shared" si="146"/>
        <v>2.3250523520159234</v>
      </c>
      <c r="O125" s="706"/>
      <c r="P125" s="612">
        <f t="shared" si="146"/>
        <v>1.8012013275947223</v>
      </c>
      <c r="Q125" s="612">
        <f t="shared" si="146"/>
        <v>1.7895705862582874</v>
      </c>
      <c r="R125" s="612">
        <f t="shared" si="146"/>
        <v>2.3301237462557749</v>
      </c>
      <c r="S125" s="612">
        <f t="shared" si="146"/>
        <v>2.0037192856174944</v>
      </c>
      <c r="T125" s="493"/>
      <c r="U125" s="493"/>
      <c r="AJ125" s="370">
        <v>1.1792670516174093</v>
      </c>
      <c r="AK125" s="370">
        <v>0.82329753775698422</v>
      </c>
      <c r="AL125" s="370">
        <v>0.59867673910038099</v>
      </c>
      <c r="AM125" s="370">
        <v>0.45072078165624474</v>
      </c>
      <c r="AN125" s="798">
        <v>0.09</v>
      </c>
      <c r="AO125" s="682">
        <v>1.321221015187994</v>
      </c>
      <c r="AP125" s="682">
        <v>0.93709440029124358</v>
      </c>
      <c r="AQ125" s="682">
        <v>0.68758543030878494</v>
      </c>
      <c r="AR125" s="682">
        <v>0.52747678072880588</v>
      </c>
      <c r="AS125" s="682">
        <v>2.2178430447491073</v>
      </c>
      <c r="AT125" s="370">
        <v>1.6747917260870395</v>
      </c>
      <c r="AU125" s="682">
        <v>1.3119564157933701</v>
      </c>
      <c r="AV125" s="682">
        <v>1.124202198074252</v>
      </c>
      <c r="AW125" s="682"/>
      <c r="AX125" s="682"/>
      <c r="AY125" s="682"/>
    </row>
    <row r="126" spans="2:51">
      <c r="I126" s="370"/>
      <c r="J126" s="370"/>
      <c r="K126" s="370"/>
      <c r="L126" s="370"/>
      <c r="M126" s="370"/>
      <c r="N126" s="705"/>
      <c r="O126" s="705"/>
      <c r="P126" s="548"/>
      <c r="Q126" s="548"/>
      <c r="R126" s="610"/>
      <c r="S126" s="610"/>
      <c r="T126" s="493"/>
      <c r="U126" s="493"/>
      <c r="V126" s="370"/>
      <c r="W126" s="370"/>
      <c r="X126" s="370"/>
      <c r="AO126" s="682"/>
      <c r="AP126" s="682"/>
      <c r="AQ126" s="682"/>
      <c r="AR126" s="682"/>
      <c r="AS126" s="682"/>
      <c r="AT126" s="682"/>
      <c r="AU126" s="682"/>
      <c r="AV126" s="682"/>
      <c r="AW126" s="682"/>
      <c r="AX126" s="682"/>
      <c r="AY126" s="682"/>
    </row>
    <row r="127" spans="2:51">
      <c r="I127" s="493"/>
      <c r="J127" s="493"/>
      <c r="K127" s="493"/>
      <c r="L127" s="493"/>
      <c r="M127" s="493"/>
      <c r="N127" s="705"/>
      <c r="O127" s="705"/>
      <c r="P127" s="548"/>
      <c r="Q127" s="548"/>
      <c r="R127" s="610"/>
      <c r="S127" s="610"/>
      <c r="T127" s="493"/>
      <c r="U127" s="493"/>
      <c r="V127" s="370"/>
      <c r="W127" s="370"/>
      <c r="X127" s="370"/>
    </row>
    <row r="128" spans="2:51">
      <c r="B128" s="522" t="s">
        <v>914</v>
      </c>
      <c r="D128" s="579" t="s">
        <v>918</v>
      </c>
      <c r="E128" s="580" t="s">
        <v>773</v>
      </c>
      <c r="F128" s="315" t="s">
        <v>1147</v>
      </c>
      <c r="G128" s="315" t="s">
        <v>1148</v>
      </c>
      <c r="H128" s="315" t="s">
        <v>1149</v>
      </c>
      <c r="I128" s="315" t="s">
        <v>1150</v>
      </c>
      <c r="J128" s="841" t="s">
        <v>1164</v>
      </c>
      <c r="K128" s="842" t="s">
        <v>1166</v>
      </c>
      <c r="L128" s="842" t="s">
        <v>1167</v>
      </c>
      <c r="M128" s="842" t="s">
        <v>1168</v>
      </c>
      <c r="N128" s="843" t="s">
        <v>1172</v>
      </c>
      <c r="O128" s="843" t="s">
        <v>1174</v>
      </c>
      <c r="P128" s="844" t="s">
        <v>1176</v>
      </c>
      <c r="Q128" s="844" t="s">
        <v>1178</v>
      </c>
      <c r="R128" s="845" t="s">
        <v>1180</v>
      </c>
      <c r="S128" s="845" t="s">
        <v>1182</v>
      </c>
      <c r="T128" s="845" t="s">
        <v>1184</v>
      </c>
      <c r="U128" s="845" t="s">
        <v>1186</v>
      </c>
      <c r="V128" s="370"/>
      <c r="W128" s="370"/>
      <c r="X128" s="370"/>
    </row>
    <row r="129" spans="2:24">
      <c r="D129" s="575" t="s">
        <v>933</v>
      </c>
      <c r="E129" s="576">
        <v>0</v>
      </c>
      <c r="F129" s="576">
        <f>'4-1. UPC &amp; NCE(Grid)'!F129</f>
        <v>754819917.88262403</v>
      </c>
      <c r="G129" s="576">
        <f>'4-1. UPC &amp; NCE(Grid)'!G129</f>
        <v>754819917.88262403</v>
      </c>
      <c r="H129" s="576">
        <f>'4-1. UPC &amp; NCE(Grid)'!H129</f>
        <v>754819917.88262403</v>
      </c>
      <c r="I129" s="576">
        <f>'4-1. UPC &amp; NCE(Grid)'!I129</f>
        <v>754819917.88262403</v>
      </c>
      <c r="J129" s="576">
        <f>'4-1. UPC &amp; NCE(Grid)'!J129</f>
        <v>754819917.88262403</v>
      </c>
      <c r="K129" s="576">
        <f>'4-1. UPC &amp; NCE(Grid)'!K129</f>
        <v>754819917.88262403</v>
      </c>
      <c r="L129" s="576">
        <f>'4-1. UPC &amp; NCE(Grid)'!L129</f>
        <v>754819917.88262403</v>
      </c>
      <c r="M129" s="576">
        <f>'4-1. UPC &amp; NCE(Grid)'!M129</f>
        <v>754819917.88262403</v>
      </c>
      <c r="N129" s="576">
        <f>'4-1. UPC &amp; NCE(Grid)'!N129</f>
        <v>754819917.88262403</v>
      </c>
      <c r="O129" s="576">
        <f>'4-1. UPC &amp; NCE(Grid)'!O129</f>
        <v>754819917.88262403</v>
      </c>
      <c r="P129" s="576">
        <f>'4-1. UPC &amp; NCE(Grid)'!P129</f>
        <v>754819917.88262403</v>
      </c>
      <c r="Q129" s="576">
        <f>'4-1. UPC &amp; NCE(Grid)'!Q129</f>
        <v>754819917.88262403</v>
      </c>
      <c r="R129" s="576">
        <f>'4-1. UPC &amp; NCE(Grid)'!R129</f>
        <v>754819917.88262403</v>
      </c>
      <c r="S129" s="576">
        <f>'4-1. UPC &amp; NCE(Grid)'!S129</f>
        <v>754819917.88262403</v>
      </c>
      <c r="T129" s="576">
        <f>'4-1. UPC &amp; NCE(Grid)'!T129</f>
        <v>754819917.88262403</v>
      </c>
      <c r="U129" s="576">
        <f>'4-1. UPC &amp; NCE(Grid)'!U129</f>
        <v>754819917.88262403</v>
      </c>
      <c r="V129" s="370"/>
      <c r="W129" s="370"/>
      <c r="X129" s="370"/>
    </row>
    <row r="130" spans="2:24">
      <c r="D130" s="575" t="s">
        <v>915</v>
      </c>
      <c r="E130" s="578">
        <f>(61262.3017470001)*8000</f>
        <v>490098413.97600079</v>
      </c>
      <c r="F130" s="861">
        <f>(16981.2345550203+596161.943982464)*8000</f>
        <v>4905145428.2998753</v>
      </c>
      <c r="G130" s="861">
        <f>(42329.1056855377+458810.332409931)*8000</f>
        <v>4009115504.7637496</v>
      </c>
      <c r="H130" s="861">
        <f>(45012.4687079324+380044.578769792)*8000</f>
        <v>3400456379.821795</v>
      </c>
      <c r="I130" s="861">
        <f>(69302.5648036897+329793.023490545)*8000</f>
        <v>3192764706.3538775</v>
      </c>
      <c r="J130" s="861">
        <f>(81714.1466249637)*8000</f>
        <v>653713172.99970961</v>
      </c>
      <c r="K130" s="861">
        <f>(43492.1237475472)*8000</f>
        <v>347936989.98037761</v>
      </c>
      <c r="L130" s="861">
        <f>(34392.1746009736)*8000</f>
        <v>275137396.80778879</v>
      </c>
      <c r="M130" s="862">
        <f>(39586.7923289689)*8000</f>
        <v>316694338.63175118</v>
      </c>
      <c r="N130" s="861">
        <f>(16981.2345550203)*8000</f>
        <v>135849876.44016239</v>
      </c>
      <c r="O130" s="861">
        <f>(42329.1056855377)*8000</f>
        <v>338632845.48430163</v>
      </c>
      <c r="P130" s="861">
        <f>(45012.4687079324)*8000</f>
        <v>360099749.66345918</v>
      </c>
      <c r="Q130" s="862">
        <f>(69302.5648036897)*8000</f>
        <v>554420518.42951763</v>
      </c>
      <c r="R130" s="861">
        <f>(1932.90522894271)*8000</f>
        <v>15463241.83154168</v>
      </c>
      <c r="S130" s="861">
        <f>(5513.71238816327)*8000</f>
        <v>44109699.105306156</v>
      </c>
      <c r="T130" s="861">
        <f>(5438.91737615984)*8000</f>
        <v>43511339.009278722</v>
      </c>
      <c r="U130" s="862">
        <f>(6821.28318358833)*8000</f>
        <v>54570265.468706638</v>
      </c>
      <c r="V130" s="370"/>
      <c r="W130" s="370"/>
      <c r="X130" s="370"/>
    </row>
    <row r="131" spans="2:24">
      <c r="D131" s="575" t="s">
        <v>916</v>
      </c>
      <c r="E131" s="576">
        <f t="shared" ref="E131" si="147">SUM(E132:E137)</f>
        <v>7894230035.6898918</v>
      </c>
      <c r="F131" s="576">
        <f>SUM(F132:F138)</f>
        <v>3638082884.2141657</v>
      </c>
      <c r="G131" s="576">
        <f t="shared" ref="G131:U131" si="148">SUM(G132:G138)</f>
        <v>2631130960.8612156</v>
      </c>
      <c r="H131" s="576">
        <f t="shared" si="148"/>
        <v>2582379857.0356927</v>
      </c>
      <c r="I131" s="576">
        <f t="shared" si="148"/>
        <v>2469313495.6306033</v>
      </c>
      <c r="J131" s="576">
        <f t="shared" si="148"/>
        <v>4620608864.2879934</v>
      </c>
      <c r="K131" s="576">
        <f t="shared" si="148"/>
        <v>3441574951.652422</v>
      </c>
      <c r="L131" s="576">
        <f t="shared" si="148"/>
        <v>3243400470.6650138</v>
      </c>
      <c r="M131" s="576">
        <f t="shared" si="148"/>
        <v>3026451884.5013709</v>
      </c>
      <c r="N131" s="576">
        <f t="shared" si="148"/>
        <v>2862695400</v>
      </c>
      <c r="O131" s="576">
        <f t="shared" si="148"/>
        <v>2034387420</v>
      </c>
      <c r="P131" s="576">
        <f t="shared" si="148"/>
        <v>2088081600</v>
      </c>
      <c r="Q131" s="576">
        <f t="shared" si="148"/>
        <v>2040374034.8399999</v>
      </c>
      <c r="R131" s="576">
        <f t="shared" si="148"/>
        <v>2890530475.7740746</v>
      </c>
      <c r="S131" s="576">
        <f t="shared" si="148"/>
        <v>2096651785.9468563</v>
      </c>
      <c r="T131" s="576">
        <f t="shared" si="148"/>
        <v>2151487066.2416568</v>
      </c>
      <c r="U131" s="576">
        <f t="shared" si="148"/>
        <v>2197476201.5130916</v>
      </c>
      <c r="V131" s="370"/>
      <c r="W131" s="370"/>
      <c r="X131" s="370"/>
    </row>
    <row r="132" spans="2:24">
      <c r="B132" s="370">
        <v>0.47589999999999999</v>
      </c>
      <c r="C132">
        <v>0.44</v>
      </c>
      <c r="D132" s="358" t="s">
        <v>920</v>
      </c>
      <c r="E132" s="422">
        <f>$C132*AH53</f>
        <v>3691026630.7199998</v>
      </c>
      <c r="F132" s="422">
        <f>$C132*AI53</f>
        <v>0</v>
      </c>
      <c r="G132" s="422">
        <f t="shared" ref="G132:U132" si="149">$C132*AJ53</f>
        <v>0</v>
      </c>
      <c r="H132" s="422">
        <f t="shared" si="149"/>
        <v>0</v>
      </c>
      <c r="I132" s="422">
        <f t="shared" si="149"/>
        <v>0</v>
      </c>
      <c r="J132" s="422">
        <f t="shared" si="149"/>
        <v>0</v>
      </c>
      <c r="K132" s="422">
        <f t="shared" si="149"/>
        <v>0</v>
      </c>
      <c r="L132" s="422">
        <f t="shared" si="149"/>
        <v>0</v>
      </c>
      <c r="M132" s="422">
        <f t="shared" si="149"/>
        <v>0</v>
      </c>
      <c r="N132" s="422">
        <f t="shared" si="149"/>
        <v>0</v>
      </c>
      <c r="O132" s="422">
        <f t="shared" si="149"/>
        <v>0</v>
      </c>
      <c r="P132" s="422">
        <f t="shared" si="149"/>
        <v>0</v>
      </c>
      <c r="Q132" s="422">
        <f t="shared" si="149"/>
        <v>0</v>
      </c>
      <c r="R132" s="422">
        <f t="shared" si="149"/>
        <v>0</v>
      </c>
      <c r="S132" s="422">
        <f t="shared" si="149"/>
        <v>0</v>
      </c>
      <c r="T132" s="422">
        <f t="shared" si="149"/>
        <v>0</v>
      </c>
      <c r="U132" s="422">
        <f t="shared" si="149"/>
        <v>0</v>
      </c>
      <c r="V132" s="370"/>
      <c r="W132" s="370"/>
      <c r="X132" s="370"/>
    </row>
    <row r="133" spans="2:24">
      <c r="B133" s="370">
        <v>0</v>
      </c>
      <c r="C133" s="370">
        <v>0</v>
      </c>
      <c r="D133" s="358" t="s">
        <v>921</v>
      </c>
      <c r="E133" s="422">
        <f>$C133*AH54</f>
        <v>0</v>
      </c>
      <c r="F133" s="422">
        <f>$C133*AI54</f>
        <v>0</v>
      </c>
      <c r="G133" s="422">
        <f t="shared" ref="G133:U133" si="150">$C133*AJ54</f>
        <v>0</v>
      </c>
      <c r="H133" s="422">
        <f t="shared" si="150"/>
        <v>0</v>
      </c>
      <c r="I133" s="422">
        <f t="shared" si="150"/>
        <v>0</v>
      </c>
      <c r="J133" s="422">
        <f t="shared" si="150"/>
        <v>0</v>
      </c>
      <c r="K133" s="422">
        <f t="shared" si="150"/>
        <v>0</v>
      </c>
      <c r="L133" s="422">
        <f t="shared" si="150"/>
        <v>0</v>
      </c>
      <c r="M133" s="422">
        <f t="shared" si="150"/>
        <v>0</v>
      </c>
      <c r="N133" s="422">
        <f t="shared" si="150"/>
        <v>0</v>
      </c>
      <c r="O133" s="422">
        <f t="shared" si="150"/>
        <v>0</v>
      </c>
      <c r="P133" s="422">
        <f t="shared" si="150"/>
        <v>0</v>
      </c>
      <c r="Q133" s="422">
        <f t="shared" si="150"/>
        <v>0</v>
      </c>
      <c r="R133" s="422">
        <f t="shared" si="150"/>
        <v>0</v>
      </c>
      <c r="S133" s="422">
        <f t="shared" si="150"/>
        <v>0</v>
      </c>
      <c r="T133" s="422">
        <f t="shared" si="150"/>
        <v>0</v>
      </c>
      <c r="U133" s="422">
        <f t="shared" si="150"/>
        <v>0</v>
      </c>
      <c r="V133" s="370"/>
      <c r="W133" s="370"/>
      <c r="X133" s="370"/>
    </row>
    <row r="134" spans="2:24">
      <c r="B134" s="370">
        <v>0.34</v>
      </c>
      <c r="C134" s="370">
        <v>0.34</v>
      </c>
      <c r="D134" s="358" t="s">
        <v>924</v>
      </c>
      <c r="E134" s="422">
        <f>$C134*AH56</f>
        <v>0</v>
      </c>
      <c r="F134" s="422">
        <f>$C134*AI56</f>
        <v>0</v>
      </c>
      <c r="G134" s="422">
        <f t="shared" ref="G134:U134" si="151">$C134*AJ56</f>
        <v>0</v>
      </c>
      <c r="H134" s="422">
        <f t="shared" si="151"/>
        <v>0</v>
      </c>
      <c r="I134" s="422">
        <f t="shared" si="151"/>
        <v>0</v>
      </c>
      <c r="J134" s="422">
        <f t="shared" si="151"/>
        <v>0</v>
      </c>
      <c r="K134" s="422">
        <f t="shared" si="151"/>
        <v>0</v>
      </c>
      <c r="L134" s="422">
        <f t="shared" si="151"/>
        <v>0</v>
      </c>
      <c r="M134" s="422">
        <f t="shared" si="151"/>
        <v>0</v>
      </c>
      <c r="N134" s="422">
        <f t="shared" si="151"/>
        <v>0</v>
      </c>
      <c r="O134" s="422">
        <f t="shared" si="151"/>
        <v>0</v>
      </c>
      <c r="P134" s="422">
        <f t="shared" si="151"/>
        <v>0</v>
      </c>
      <c r="Q134" s="422">
        <f t="shared" si="151"/>
        <v>0</v>
      </c>
      <c r="R134" s="422">
        <f t="shared" si="151"/>
        <v>0</v>
      </c>
      <c r="S134" s="422">
        <f t="shared" si="151"/>
        <v>0</v>
      </c>
      <c r="T134" s="422">
        <f t="shared" si="151"/>
        <v>0</v>
      </c>
      <c r="U134" s="422">
        <f t="shared" si="151"/>
        <v>0</v>
      </c>
      <c r="V134" s="370"/>
      <c r="W134" s="370"/>
      <c r="X134" s="370"/>
    </row>
    <row r="135" spans="2:24">
      <c r="B135" s="370">
        <f>0.19</f>
        <v>0.19</v>
      </c>
      <c r="C135" s="370">
        <f>0.19</f>
        <v>0.19</v>
      </c>
      <c r="D135" s="358" t="s">
        <v>186</v>
      </c>
      <c r="E135" s="422">
        <f>$C135*AH57</f>
        <v>7499.6698920000008</v>
      </c>
      <c r="F135" s="422">
        <f>$C135*AI57</f>
        <v>0</v>
      </c>
      <c r="G135" s="422">
        <f t="shared" ref="G135:U135" si="152">$C135*AJ57</f>
        <v>0</v>
      </c>
      <c r="H135" s="422">
        <f t="shared" si="152"/>
        <v>0</v>
      </c>
      <c r="I135" s="422">
        <f t="shared" si="152"/>
        <v>0</v>
      </c>
      <c r="J135" s="422">
        <f t="shared" si="152"/>
        <v>0</v>
      </c>
      <c r="K135" s="422">
        <f t="shared" si="152"/>
        <v>0</v>
      </c>
      <c r="L135" s="422">
        <f t="shared" si="152"/>
        <v>0</v>
      </c>
      <c r="M135" s="422">
        <f t="shared" si="152"/>
        <v>0</v>
      </c>
      <c r="N135" s="422">
        <f t="shared" si="152"/>
        <v>0</v>
      </c>
      <c r="O135" s="422">
        <f t="shared" si="152"/>
        <v>0</v>
      </c>
      <c r="P135" s="422">
        <f t="shared" si="152"/>
        <v>0</v>
      </c>
      <c r="Q135" s="422">
        <f t="shared" si="152"/>
        <v>0</v>
      </c>
      <c r="R135" s="422">
        <f t="shared" si="152"/>
        <v>0</v>
      </c>
      <c r="S135" s="422">
        <f t="shared" si="152"/>
        <v>0</v>
      </c>
      <c r="T135" s="422">
        <f t="shared" si="152"/>
        <v>0</v>
      </c>
      <c r="U135" s="422">
        <f t="shared" si="152"/>
        <v>0</v>
      </c>
      <c r="V135" s="370"/>
      <c r="W135" s="370"/>
      <c r="X135" s="370"/>
    </row>
    <row r="136" spans="2:24">
      <c r="B136" s="370">
        <v>0.19</v>
      </c>
      <c r="C136" s="370">
        <v>0.19</v>
      </c>
      <c r="D136" s="358" t="s">
        <v>188</v>
      </c>
      <c r="E136" s="422">
        <f>$C136*AH58*750</f>
        <v>163584097.65000001</v>
      </c>
      <c r="F136" s="422">
        <f>$C136*AI58*750</f>
        <v>0</v>
      </c>
      <c r="G136" s="422">
        <f t="shared" ref="G136:U136" si="153">$C136*AJ58*750</f>
        <v>0</v>
      </c>
      <c r="H136" s="422">
        <f t="shared" si="153"/>
        <v>0</v>
      </c>
      <c r="I136" s="422">
        <f t="shared" si="153"/>
        <v>0</v>
      </c>
      <c r="J136" s="422">
        <f t="shared" si="153"/>
        <v>982525980.07382774</v>
      </c>
      <c r="K136" s="422">
        <f t="shared" si="153"/>
        <v>810443990.79120636</v>
      </c>
      <c r="L136" s="422">
        <f t="shared" si="153"/>
        <v>661020613.62932134</v>
      </c>
      <c r="M136" s="422">
        <f t="shared" si="153"/>
        <v>557138388.87076795</v>
      </c>
      <c r="N136" s="422">
        <f t="shared" si="153"/>
        <v>0</v>
      </c>
      <c r="O136" s="422">
        <f t="shared" si="153"/>
        <v>0</v>
      </c>
      <c r="P136" s="422">
        <f t="shared" si="153"/>
        <v>0</v>
      </c>
      <c r="Q136" s="422">
        <f t="shared" si="153"/>
        <v>0</v>
      </c>
      <c r="R136" s="422">
        <f t="shared" si="153"/>
        <v>27835075.77407432</v>
      </c>
      <c r="S136" s="422">
        <f t="shared" si="153"/>
        <v>62264365.946856223</v>
      </c>
      <c r="T136" s="422">
        <f t="shared" si="153"/>
        <v>63405466.241656967</v>
      </c>
      <c r="U136" s="422">
        <f t="shared" si="153"/>
        <v>157102166.67309174</v>
      </c>
      <c r="V136" s="370"/>
      <c r="W136" s="370"/>
      <c r="X136" s="370"/>
    </row>
    <row r="137" spans="2:24">
      <c r="B137" s="370">
        <v>1.5</v>
      </c>
      <c r="C137" s="370">
        <v>1.5</v>
      </c>
      <c r="D137" s="358" t="s">
        <v>596</v>
      </c>
      <c r="E137" s="422">
        <f t="shared" ref="E137:S137" si="154">$C137*AH59</f>
        <v>4039611807.6500001</v>
      </c>
      <c r="F137" s="422">
        <f t="shared" si="154"/>
        <v>2862695400</v>
      </c>
      <c r="G137" s="422">
        <f t="shared" si="154"/>
        <v>2034387420</v>
      </c>
      <c r="H137" s="422">
        <f t="shared" si="154"/>
        <v>2088081600</v>
      </c>
      <c r="I137" s="422">
        <f t="shared" si="154"/>
        <v>2040374034.8399999</v>
      </c>
      <c r="J137" s="422">
        <f t="shared" si="154"/>
        <v>2862695400</v>
      </c>
      <c r="K137" s="422">
        <f t="shared" si="154"/>
        <v>2034387420</v>
      </c>
      <c r="L137" s="422">
        <f t="shared" si="154"/>
        <v>2088081600</v>
      </c>
      <c r="M137" s="422">
        <f t="shared" si="154"/>
        <v>2040374034.8399999</v>
      </c>
      <c r="N137" s="422">
        <f t="shared" si="154"/>
        <v>2862695400</v>
      </c>
      <c r="O137" s="422">
        <f t="shared" si="154"/>
        <v>2034387420</v>
      </c>
      <c r="P137" s="550">
        <f t="shared" si="154"/>
        <v>2088081600</v>
      </c>
      <c r="Q137" s="550">
        <f t="shared" si="154"/>
        <v>2040374034.8399999</v>
      </c>
      <c r="R137" s="550">
        <f t="shared" si="154"/>
        <v>2862695400</v>
      </c>
      <c r="S137" s="550">
        <f t="shared" si="154"/>
        <v>2034387420</v>
      </c>
      <c r="T137" s="550">
        <f t="shared" ref="T137:U137" si="155">$C137*AW59</f>
        <v>2088081600</v>
      </c>
      <c r="U137" s="550">
        <f t="shared" si="155"/>
        <v>2040374034.8399999</v>
      </c>
      <c r="V137"/>
      <c r="W137"/>
      <c r="X137" s="370"/>
    </row>
    <row r="138" spans="2:24">
      <c r="B138" s="798">
        <v>2.5099999999999998</v>
      </c>
      <c r="C138" s="798">
        <v>0.44600000000000001</v>
      </c>
      <c r="D138" s="867" t="s">
        <v>1238</v>
      </c>
      <c r="E138" s="524"/>
      <c r="F138" s="422">
        <f>$C138*'3. CEF &amp; EEF'!E7*8000</f>
        <v>775387484.21416581</v>
      </c>
      <c r="G138" s="422">
        <f>$C138*'3. CEF &amp; EEF'!F7*8000</f>
        <v>596743540.86121535</v>
      </c>
      <c r="H138" s="422">
        <f>$C138*'3. CEF &amp; EEF'!G7*8000</f>
        <v>494298257.03569263</v>
      </c>
      <c r="I138" s="422">
        <f>$C138*'3. CEF &amp; EEF'!H7*8000</f>
        <v>428939460.79060322</v>
      </c>
      <c r="J138" s="422">
        <f>$C138*'3. CEF &amp; EEF'!I7*8000</f>
        <v>775387484.21416581</v>
      </c>
      <c r="K138" s="422">
        <f>$C138*'3. CEF &amp; EEF'!J7*8000</f>
        <v>596743540.86121535</v>
      </c>
      <c r="L138" s="422">
        <f>$C138*'3. CEF &amp; EEF'!K7*8000</f>
        <v>494298257.03569263</v>
      </c>
      <c r="M138" s="422">
        <f>$C138*'3. CEF &amp; EEF'!L7*8000</f>
        <v>428939460.79060322</v>
      </c>
      <c r="N138" s="422">
        <f>$C138*'3. CEF &amp; EEF'!M7*8000</f>
        <v>0</v>
      </c>
      <c r="O138" s="422">
        <f>$C138*'3. CEF &amp; EEF'!N7*8000</f>
        <v>0</v>
      </c>
      <c r="P138" s="422">
        <f>$C138*'3. CEF &amp; EEF'!O7*8000</f>
        <v>0</v>
      </c>
      <c r="Q138" s="422">
        <f>$C138*'3. CEF &amp; EEF'!P7*8000</f>
        <v>0</v>
      </c>
      <c r="R138" s="422">
        <f>$C138*'3. CEF &amp; EEF'!Q7*8000</f>
        <v>0</v>
      </c>
      <c r="S138" s="422">
        <f>$C138*'3. CEF &amp; EEF'!R7*8000</f>
        <v>0</v>
      </c>
      <c r="T138" s="422">
        <f>$C138*'3. CEF &amp; EEF'!S7*8000</f>
        <v>0</v>
      </c>
      <c r="U138" s="422">
        <f>$C138*'3. CEF &amp; EEF'!T7*8000</f>
        <v>0</v>
      </c>
      <c r="V138" s="370"/>
      <c r="W138" s="370"/>
      <c r="X138" s="370"/>
    </row>
    <row r="139" spans="2:24">
      <c r="D139" s="575" t="s">
        <v>1146</v>
      </c>
      <c r="F139" s="794">
        <f>(F140*4+F141*2.5+F142*2+F143*0)</f>
        <v>1184621833.3329287</v>
      </c>
      <c r="G139" s="794">
        <f t="shared" ref="G139:U139" si="156">(G140*4+G141*2.5+G142*2+G143*0)</f>
        <v>1341653980.1583354</v>
      </c>
      <c r="H139" s="794">
        <f t="shared" si="156"/>
        <v>1481906870.7839954</v>
      </c>
      <c r="I139" s="794">
        <f t="shared" si="156"/>
        <v>1664677769.2945628</v>
      </c>
      <c r="J139" s="794">
        <f t="shared" si="156"/>
        <v>0</v>
      </c>
      <c r="K139" s="794">
        <f t="shared" si="156"/>
        <v>1341653980.1583354</v>
      </c>
      <c r="L139" s="794">
        <f t="shared" si="156"/>
        <v>1481906870.7839954</v>
      </c>
      <c r="M139" s="794">
        <f t="shared" si="156"/>
        <v>1664677769.2945628</v>
      </c>
      <c r="N139" s="794">
        <f t="shared" si="156"/>
        <v>1194033595.2014809</v>
      </c>
      <c r="O139" s="794">
        <f t="shared" si="156"/>
        <v>1363602544.6267011</v>
      </c>
      <c r="P139" s="794">
        <f t="shared" si="156"/>
        <v>1506382840.8211253</v>
      </c>
      <c r="Q139" s="794">
        <f t="shared" si="156"/>
        <v>1673534473.2007532</v>
      </c>
      <c r="R139" s="794">
        <f t="shared" si="156"/>
        <v>1194033595.2014809</v>
      </c>
      <c r="S139" s="794">
        <f t="shared" si="156"/>
        <v>1363602544.6267011</v>
      </c>
      <c r="T139" s="794">
        <f t="shared" si="156"/>
        <v>1506382840.8211253</v>
      </c>
      <c r="U139" s="794">
        <f t="shared" si="156"/>
        <v>1673534473.2007532</v>
      </c>
      <c r="V139" s="370"/>
      <c r="W139" s="370"/>
      <c r="X139" s="370"/>
    </row>
    <row r="140" spans="2:24">
      <c r="D140" s="229" t="s">
        <v>1030</v>
      </c>
      <c r="F140" s="794">
        <f t="shared" ref="F140:I143" si="157">AI75</f>
        <v>233635400.70064721</v>
      </c>
      <c r="G140" s="794">
        <f t="shared" si="157"/>
        <v>245996505.19076639</v>
      </c>
      <c r="H140" s="794">
        <f t="shared" si="157"/>
        <v>252541045.7800568</v>
      </c>
      <c r="I140" s="794">
        <f t="shared" si="157"/>
        <v>264797263.52022156</v>
      </c>
      <c r="J140" s="795"/>
      <c r="K140" s="794">
        <f t="shared" ref="K140:U143" si="158">AN75</f>
        <v>245996505.19076639</v>
      </c>
      <c r="L140" s="794">
        <f t="shared" si="158"/>
        <v>252541045.7800568</v>
      </c>
      <c r="M140" s="794">
        <f t="shared" si="158"/>
        <v>264797263.52022156</v>
      </c>
      <c r="N140" s="794">
        <f t="shared" si="158"/>
        <v>235994687.7746112</v>
      </c>
      <c r="O140" s="794">
        <f t="shared" si="158"/>
        <v>251523917.62623039</v>
      </c>
      <c r="P140" s="794">
        <f t="shared" si="158"/>
        <v>258673464.0058808</v>
      </c>
      <c r="Q140" s="794">
        <f t="shared" si="158"/>
        <v>266453029.54962558</v>
      </c>
      <c r="R140" s="794">
        <f t="shared" si="158"/>
        <v>235994687.7746112</v>
      </c>
      <c r="S140" s="794">
        <f t="shared" si="158"/>
        <v>251523917.62623039</v>
      </c>
      <c r="T140" s="794">
        <f t="shared" si="158"/>
        <v>258673464.0058808</v>
      </c>
      <c r="U140" s="794">
        <f t="shared" si="158"/>
        <v>266453029.54962558</v>
      </c>
      <c r="V140" s="370"/>
      <c r="W140" s="370"/>
      <c r="X140" s="370"/>
    </row>
    <row r="141" spans="2:24">
      <c r="D141" s="229" t="s">
        <v>688</v>
      </c>
      <c r="F141" s="794">
        <f t="shared" si="157"/>
        <v>13117896.51945048</v>
      </c>
      <c r="G141" s="794">
        <f t="shared" si="157"/>
        <v>21956048.911865361</v>
      </c>
      <c r="H141" s="794">
        <f t="shared" si="157"/>
        <v>34237413.668112718</v>
      </c>
      <c r="I141" s="794">
        <f t="shared" si="157"/>
        <v>48649504.523832239</v>
      </c>
      <c r="J141" s="795"/>
      <c r="K141" s="794">
        <f t="shared" si="158"/>
        <v>21956048.911865361</v>
      </c>
      <c r="L141" s="794">
        <f t="shared" si="158"/>
        <v>34237413.668112718</v>
      </c>
      <c r="M141" s="794">
        <f t="shared" si="158"/>
        <v>48649504.523832239</v>
      </c>
      <c r="N141" s="794">
        <f t="shared" si="158"/>
        <v>13116116.360694081</v>
      </c>
      <c r="O141" s="794">
        <f t="shared" si="158"/>
        <v>21945476.96786128</v>
      </c>
      <c r="P141" s="794">
        <f t="shared" si="158"/>
        <v>34227173.754957601</v>
      </c>
      <c r="Q141" s="794">
        <f t="shared" si="158"/>
        <v>48652408.585803434</v>
      </c>
      <c r="R141" s="794">
        <f t="shared" si="158"/>
        <v>13116116.360694081</v>
      </c>
      <c r="S141" s="794">
        <f t="shared" si="158"/>
        <v>21945476.96786128</v>
      </c>
      <c r="T141" s="794">
        <f t="shared" si="158"/>
        <v>34227173.754957601</v>
      </c>
      <c r="U141" s="794">
        <f t="shared" si="158"/>
        <v>48652408.585803434</v>
      </c>
      <c r="V141" s="370"/>
      <c r="W141" s="370"/>
      <c r="X141" s="370"/>
    </row>
    <row r="142" spans="2:24">
      <c r="D142" s="229" t="s">
        <v>625</v>
      </c>
      <c r="F142" s="794">
        <f t="shared" si="157"/>
        <v>108642744.61585681</v>
      </c>
      <c r="G142" s="794">
        <f t="shared" si="157"/>
        <v>151388918.55780321</v>
      </c>
      <c r="H142" s="794">
        <f t="shared" si="157"/>
        <v>193074576.7467432</v>
      </c>
      <c r="I142" s="794">
        <f t="shared" si="157"/>
        <v>241932476.952048</v>
      </c>
      <c r="J142" s="795"/>
      <c r="K142" s="794">
        <f t="shared" si="158"/>
        <v>151388918.55780321</v>
      </c>
      <c r="L142" s="794">
        <f t="shared" si="158"/>
        <v>193074576.7467432</v>
      </c>
      <c r="M142" s="794">
        <f t="shared" si="158"/>
        <v>241932476.952048</v>
      </c>
      <c r="N142" s="794">
        <f t="shared" si="158"/>
        <v>108632276.6006504</v>
      </c>
      <c r="O142" s="794">
        <f t="shared" si="158"/>
        <v>151321590.85106319</v>
      </c>
      <c r="P142" s="794">
        <f t="shared" si="158"/>
        <v>193060525.20510399</v>
      </c>
      <c r="Q142" s="794">
        <f t="shared" si="158"/>
        <v>243045666.76887119</v>
      </c>
      <c r="R142" s="794">
        <f t="shared" si="158"/>
        <v>108632276.6006504</v>
      </c>
      <c r="S142" s="794">
        <f t="shared" si="158"/>
        <v>151321590.85106319</v>
      </c>
      <c r="T142" s="794">
        <f t="shared" si="158"/>
        <v>193060525.20510399</v>
      </c>
      <c r="U142" s="794">
        <f t="shared" si="158"/>
        <v>243045666.76887119</v>
      </c>
      <c r="V142" s="370"/>
      <c r="W142" s="370"/>
      <c r="X142" s="370"/>
    </row>
    <row r="143" spans="2:24">
      <c r="D143" s="358" t="s">
        <v>886</v>
      </c>
      <c r="F143" s="794">
        <f t="shared" si="157"/>
        <v>119914021.3318312</v>
      </c>
      <c r="G143" s="794">
        <f t="shared" si="157"/>
        <v>91990090.802637592</v>
      </c>
      <c r="H143" s="794">
        <f t="shared" si="157"/>
        <v>89901669.429938391</v>
      </c>
      <c r="I143" s="794">
        <f t="shared" si="157"/>
        <v>62487108.321178637</v>
      </c>
      <c r="J143" s="795"/>
      <c r="K143" s="794">
        <f t="shared" si="158"/>
        <v>91990090.802637592</v>
      </c>
      <c r="L143" s="794">
        <f t="shared" si="158"/>
        <v>89901669.429938391</v>
      </c>
      <c r="M143" s="794">
        <f t="shared" si="158"/>
        <v>62487108.321178637</v>
      </c>
      <c r="N143" s="794">
        <f t="shared" si="158"/>
        <v>119906858.5003528</v>
      </c>
      <c r="O143" s="794">
        <f t="shared" si="158"/>
        <v>91973030.21456641</v>
      </c>
      <c r="P143" s="794">
        <f t="shared" si="158"/>
        <v>89902859.921120003</v>
      </c>
      <c r="Q143" s="794">
        <f t="shared" si="158"/>
        <v>94271944.718263999</v>
      </c>
      <c r="R143" s="794">
        <f t="shared" si="158"/>
        <v>119906858.5003528</v>
      </c>
      <c r="S143" s="794">
        <f t="shared" si="158"/>
        <v>91973030.21456641</v>
      </c>
      <c r="T143" s="794">
        <f t="shared" si="158"/>
        <v>89902859.921120003</v>
      </c>
      <c r="U143" s="794">
        <f t="shared" si="158"/>
        <v>94271944.718263999</v>
      </c>
      <c r="V143" s="370"/>
      <c r="W143" s="370"/>
      <c r="X143" s="370"/>
    </row>
    <row r="144" spans="2:24">
      <c r="K144" s="370"/>
      <c r="L144" s="370"/>
      <c r="M144" s="370"/>
      <c r="T144" s="370"/>
      <c r="U144" s="370"/>
      <c r="V144" s="370"/>
      <c r="W144" s="370"/>
      <c r="X144" s="370"/>
    </row>
    <row r="145" spans="4:36">
      <c r="T145" s="370"/>
      <c r="U145" s="370"/>
      <c r="V145" s="370"/>
      <c r="W145" s="370"/>
      <c r="X145" s="370"/>
    </row>
    <row r="146" spans="4:36">
      <c r="D146" s="575" t="s">
        <v>917</v>
      </c>
      <c r="E146" s="578">
        <f t="shared" ref="E146:U146" si="159">AH73</f>
        <v>486941333.18155122</v>
      </c>
      <c r="F146" s="578">
        <f t="shared" si="159"/>
        <v>1160896180.2469041</v>
      </c>
      <c r="G146" s="578">
        <f t="shared" si="159"/>
        <v>1067900644.830296</v>
      </c>
      <c r="H146" s="578">
        <f t="shared" si="159"/>
        <v>1002650848.95968</v>
      </c>
      <c r="I146" s="578">
        <f t="shared" si="159"/>
        <v>895027549.50861597</v>
      </c>
      <c r="J146" s="578">
        <f t="shared" si="159"/>
        <v>1160896180.2469041</v>
      </c>
      <c r="K146" s="578">
        <f t="shared" si="159"/>
        <v>1067900644.830296</v>
      </c>
      <c r="L146" s="578">
        <f t="shared" si="159"/>
        <v>1002650848.95968</v>
      </c>
      <c r="M146" s="578">
        <f t="shared" si="159"/>
        <v>895027549.50861597</v>
      </c>
      <c r="N146" s="578">
        <f t="shared" si="159"/>
        <v>1160804537.0580318</v>
      </c>
      <c r="O146" s="578">
        <f t="shared" si="159"/>
        <v>1067543665.3682401</v>
      </c>
      <c r="P146" s="577">
        <f t="shared" si="159"/>
        <v>1002590209.62112</v>
      </c>
      <c r="Q146" s="577">
        <f t="shared" si="159"/>
        <v>908839447.00947189</v>
      </c>
      <c r="R146" s="577">
        <f t="shared" si="159"/>
        <v>1160804537.0580318</v>
      </c>
      <c r="S146" s="577">
        <f t="shared" si="159"/>
        <v>1067543665.3682401</v>
      </c>
      <c r="T146" s="577">
        <f t="shared" si="159"/>
        <v>1002590209.62112</v>
      </c>
      <c r="U146" s="577">
        <f t="shared" si="159"/>
        <v>908839447.00947189</v>
      </c>
      <c r="V146" s="370"/>
      <c r="W146" s="370"/>
      <c r="X146" s="370"/>
    </row>
    <row r="147" spans="4:36">
      <c r="D147" s="582"/>
      <c r="E147" s="583">
        <f>(E129+E130+E131)/E146</f>
        <v>17.218354406032482</v>
      </c>
      <c r="F147" s="583">
        <f>(F129+F130+F131)/SUM(F140:F146)</f>
        <v>5.6826871721208265</v>
      </c>
      <c r="G147" s="583">
        <f t="shared" ref="G147:T147" si="160">(G129+G130+G131)/SUM(G140:G146)</f>
        <v>4.682697290919128</v>
      </c>
      <c r="H147" s="583">
        <f t="shared" si="160"/>
        <v>4.2849353559555245</v>
      </c>
      <c r="I147" s="583">
        <f t="shared" si="160"/>
        <v>4.2414726557368914</v>
      </c>
      <c r="J147" s="583">
        <f t="shared" si="160"/>
        <v>5.1935238118261573</v>
      </c>
      <c r="K147" s="583">
        <f t="shared" si="160"/>
        <v>2.8775577370134529</v>
      </c>
      <c r="L147" s="583">
        <f t="shared" si="160"/>
        <v>2.7177198483533433</v>
      </c>
      <c r="M147" s="583">
        <f t="shared" si="160"/>
        <v>2.7086936720157695</v>
      </c>
      <c r="N147" s="583">
        <f t="shared" si="160"/>
        <v>2.2907961427232921</v>
      </c>
      <c r="O147" s="583">
        <f t="shared" si="160"/>
        <v>1.9742630934778147</v>
      </c>
      <c r="P147" s="583">
        <f t="shared" si="160"/>
        <v>2.0292012283792835</v>
      </c>
      <c r="Q147" s="583">
        <f t="shared" si="160"/>
        <v>2.1454524645137814</v>
      </c>
      <c r="R147" s="583">
        <f>(R129+R130+R131)/SUM(R140:R146)</f>
        <v>2.2343090323558021</v>
      </c>
      <c r="S147" s="583">
        <f t="shared" si="160"/>
        <v>1.8276635514738016</v>
      </c>
      <c r="T147" s="583">
        <f t="shared" si="160"/>
        <v>1.8688019344382658</v>
      </c>
      <c r="U147" s="583">
        <f>(U129+U130+U131)/SUM(U140:U146)</f>
        <v>1.9259198189611615</v>
      </c>
      <c r="V147" s="370"/>
      <c r="W147" s="370"/>
      <c r="X147" s="370"/>
    </row>
    <row r="148" spans="4:36">
      <c r="F148" s="573" t="s">
        <v>1037</v>
      </c>
      <c r="I148" s="385"/>
      <c r="J148" s="385"/>
      <c r="K148" s="385"/>
      <c r="L148" s="385"/>
      <c r="M148" s="385"/>
      <c r="N148" s="705"/>
      <c r="O148" s="705"/>
      <c r="P148" s="548"/>
      <c r="Q148" s="548"/>
      <c r="R148" s="379">
        <f>'4-1. UPC &amp; NCE(Grid)'!J145-'4-2. UPC &amp; NCE(RE)'!R147</f>
        <v>3.6662954322632757</v>
      </c>
      <c r="S148" s="379">
        <f>'4-1. UPC &amp; NCE(Grid)'!K145-'4-2. UPC &amp; NCE(RE)'!S147</f>
        <v>2.7428196016500537</v>
      </c>
      <c r="T148" s="379">
        <f>'4-1. UPC &amp; NCE(Grid)'!L145-'4-2. UPC &amp; NCE(RE)'!T147</f>
        <v>2.0961637266266666</v>
      </c>
      <c r="U148" s="379">
        <f>'4-1. UPC &amp; NCE(Grid)'!M145-'4-2. UPC &amp; NCE(RE)'!U147</f>
        <v>1.7817679926284051</v>
      </c>
      <c r="V148" s="370"/>
      <c r="W148" s="370"/>
      <c r="X148" s="370"/>
    </row>
    <row r="149" spans="4:36">
      <c r="D149" s="579"/>
      <c r="E149" s="580" t="s">
        <v>773</v>
      </c>
      <c r="F149" s="315" t="s">
        <v>1147</v>
      </c>
      <c r="G149" s="315" t="s">
        <v>1148</v>
      </c>
      <c r="H149" s="315" t="s">
        <v>1149</v>
      </c>
      <c r="I149" s="315" t="s">
        <v>1150</v>
      </c>
      <c r="J149" s="841" t="s">
        <v>1164</v>
      </c>
      <c r="K149" s="842" t="s">
        <v>1166</v>
      </c>
      <c r="L149" s="842" t="s">
        <v>1167</v>
      </c>
      <c r="M149" s="842" t="s">
        <v>1168</v>
      </c>
      <c r="N149" s="843" t="s">
        <v>1172</v>
      </c>
      <c r="O149" s="843" t="s">
        <v>1174</v>
      </c>
      <c r="P149" s="844" t="s">
        <v>1176</v>
      </c>
      <c r="Q149" s="844" t="s">
        <v>1178</v>
      </c>
      <c r="R149" s="845" t="s">
        <v>1180</v>
      </c>
      <c r="S149" s="845" t="s">
        <v>1182</v>
      </c>
      <c r="T149" s="845" t="s">
        <v>1184</v>
      </c>
      <c r="U149" s="845" t="s">
        <v>1186</v>
      </c>
      <c r="V149" s="370"/>
      <c r="W149" s="370"/>
      <c r="X149" s="370"/>
    </row>
    <row r="150" spans="4:36">
      <c r="D150" s="575" t="s">
        <v>933</v>
      </c>
      <c r="E150" s="581">
        <f>E129/E$146</f>
        <v>0</v>
      </c>
      <c r="F150" s="581">
        <f>F129/SUM(F140:F146)</f>
        <v>0.4613232108852906</v>
      </c>
      <c r="G150" s="581">
        <f t="shared" ref="G150:U150" si="161">G129/SUM(G140:G146)</f>
        <v>0.47796639019814352</v>
      </c>
      <c r="H150" s="581">
        <f t="shared" si="161"/>
        <v>0.48004149799767554</v>
      </c>
      <c r="I150" s="581">
        <f t="shared" si="161"/>
        <v>0.4989245554316234</v>
      </c>
      <c r="J150" s="581">
        <f t="shared" si="161"/>
        <v>0.65020449780624301</v>
      </c>
      <c r="K150" s="581">
        <f t="shared" si="161"/>
        <v>0.47796639019814352</v>
      </c>
      <c r="L150" s="581">
        <f t="shared" si="161"/>
        <v>0.48004149799767554</v>
      </c>
      <c r="M150" s="581">
        <f t="shared" si="161"/>
        <v>0.4989245554316234</v>
      </c>
      <c r="N150" s="581">
        <f t="shared" si="161"/>
        <v>0.46069019847886472</v>
      </c>
      <c r="O150" s="581">
        <f t="shared" si="161"/>
        <v>0.47643518170212185</v>
      </c>
      <c r="P150" s="581">
        <f t="shared" si="161"/>
        <v>0.47820196641571688</v>
      </c>
      <c r="Q150" s="581">
        <f t="shared" si="161"/>
        <v>0.48346765486964915</v>
      </c>
      <c r="R150" s="581">
        <f t="shared" si="161"/>
        <v>0.46069019847886472</v>
      </c>
      <c r="S150" s="581">
        <f t="shared" si="161"/>
        <v>0.47643518170212185</v>
      </c>
      <c r="T150" s="581">
        <f t="shared" si="161"/>
        <v>0.47820196641571688</v>
      </c>
      <c r="U150" s="581">
        <f t="shared" si="161"/>
        <v>0.48346765486964915</v>
      </c>
      <c r="V150" s="370"/>
      <c r="W150" s="370"/>
      <c r="X150" s="370"/>
    </row>
    <row r="151" spans="4:36">
      <c r="D151" s="575" t="s">
        <v>915</v>
      </c>
      <c r="E151" s="581">
        <f>E130/E$146</f>
        <v>1.0064834931424327</v>
      </c>
      <c r="F151" s="581">
        <f>F130/SUM(F140:F146)</f>
        <v>2.9978772224111885</v>
      </c>
      <c r="G151" s="581">
        <f t="shared" ref="G151:U151" si="162">G130/SUM(G140:G146)</f>
        <v>2.5386485177479297</v>
      </c>
      <c r="H151" s="581">
        <f t="shared" si="162"/>
        <v>2.1625822739606644</v>
      </c>
      <c r="I151" s="581">
        <f t="shared" si="162"/>
        <v>2.110369207245923</v>
      </c>
      <c r="J151" s="581">
        <f t="shared" si="162"/>
        <v>0.56311079674728126</v>
      </c>
      <c r="K151" s="581">
        <f t="shared" si="162"/>
        <v>0.2203203481750054</v>
      </c>
      <c r="L151" s="581">
        <f t="shared" si="162"/>
        <v>0.17497864721069811</v>
      </c>
      <c r="M151" s="581">
        <f t="shared" si="162"/>
        <v>0.20933017050316996</v>
      </c>
      <c r="N151" s="581">
        <f t="shared" si="162"/>
        <v>8.2913427504810094E-2</v>
      </c>
      <c r="O151" s="581">
        <f t="shared" si="162"/>
        <v>0.21374184417548445</v>
      </c>
      <c r="P151" s="581">
        <f t="shared" si="162"/>
        <v>0.22813442559639907</v>
      </c>
      <c r="Q151" s="581">
        <f t="shared" si="162"/>
        <v>0.35511037998127576</v>
      </c>
      <c r="R151" s="581">
        <f t="shared" si="162"/>
        <v>9.4377000125841666E-3</v>
      </c>
      <c r="S151" s="581">
        <f t="shared" si="162"/>
        <v>2.784162422079911E-2</v>
      </c>
      <c r="T151" s="581">
        <f t="shared" si="162"/>
        <v>2.7565790704072991E-2</v>
      </c>
      <c r="U151" s="581">
        <f t="shared" si="162"/>
        <v>3.4952652476073633E-2</v>
      </c>
      <c r="V151" s="370"/>
      <c r="W151" s="370">
        <v>490</v>
      </c>
      <c r="X151" s="370"/>
    </row>
    <row r="152" spans="4:36">
      <c r="D152" s="575" t="s">
        <v>916</v>
      </c>
      <c r="E152" s="581">
        <f>E131/E$146</f>
        <v>16.211870912890049</v>
      </c>
      <c r="F152" s="581">
        <f>F131/SUM(F140:F146)</f>
        <v>2.2234867388243478</v>
      </c>
      <c r="G152" s="581">
        <f t="shared" ref="G152:U152" si="163">G131/SUM(G140:G146)</f>
        <v>1.6660823829730551</v>
      </c>
      <c r="H152" s="581">
        <f t="shared" si="163"/>
        <v>1.6423115839971845</v>
      </c>
      <c r="I152" s="581">
        <f t="shared" si="163"/>
        <v>1.6321788930593446</v>
      </c>
      <c r="J152" s="581">
        <f t="shared" si="163"/>
        <v>3.9802085172726329</v>
      </c>
      <c r="K152" s="581">
        <f t="shared" si="163"/>
        <v>2.179270998640304</v>
      </c>
      <c r="L152" s="581">
        <f t="shared" si="163"/>
        <v>2.0626997031449696</v>
      </c>
      <c r="M152" s="581">
        <f t="shared" si="163"/>
        <v>2.0004389460809762</v>
      </c>
      <c r="N152" s="581">
        <f t="shared" si="163"/>
        <v>1.7471925167396172</v>
      </c>
      <c r="O152" s="581">
        <f t="shared" si="163"/>
        <v>1.2840860676002084</v>
      </c>
      <c r="P152" s="581">
        <f t="shared" si="163"/>
        <v>1.3228648363671676</v>
      </c>
      <c r="Q152" s="581">
        <f t="shared" si="163"/>
        <v>1.3068744296628567</v>
      </c>
      <c r="R152" s="581">
        <f t="shared" si="163"/>
        <v>1.7641811338643534</v>
      </c>
      <c r="S152" s="581">
        <f t="shared" si="163"/>
        <v>1.3233867455508805</v>
      </c>
      <c r="T152" s="581">
        <f t="shared" si="163"/>
        <v>1.3630341773184758</v>
      </c>
      <c r="U152" s="581">
        <f t="shared" si="163"/>
        <v>1.4074995116154387</v>
      </c>
      <c r="V152" s="370"/>
      <c r="W152" s="370"/>
      <c r="X152" s="370"/>
    </row>
    <row r="153" spans="4:36">
      <c r="D153" s="575" t="s">
        <v>1260</v>
      </c>
      <c r="F153" s="807"/>
      <c r="G153" s="807"/>
      <c r="H153" s="807"/>
      <c r="I153" s="807"/>
      <c r="J153" s="807"/>
      <c r="K153" s="807"/>
      <c r="L153" s="807"/>
      <c r="M153" s="807"/>
      <c r="N153" s="807"/>
      <c r="O153" s="807"/>
      <c r="P153" s="807"/>
      <c r="Q153" s="807"/>
      <c r="R153" s="807">
        <f>AU80/SUM(R139:R146)</f>
        <v>4.2500529192206489E-2</v>
      </c>
      <c r="S153" s="807">
        <f t="shared" ref="S153:U153" si="164">AV80/SUM(S139:S146)</f>
        <v>9.9888164852722186E-2</v>
      </c>
      <c r="T153" s="807">
        <f t="shared" si="164"/>
        <v>0.10261024248046337</v>
      </c>
      <c r="U153" s="807">
        <f t="shared" si="164"/>
        <v>0.15455269945676314</v>
      </c>
      <c r="AG153" s="898">
        <v>4017460165.6343451</v>
      </c>
      <c r="AH153" s="898">
        <v>3352127375.2693682</v>
      </c>
      <c r="AI153" s="898">
        <v>3052779516.721818</v>
      </c>
      <c r="AJ153" s="898">
        <v>2785811266.9382925</v>
      </c>
    </row>
    <row r="154" spans="4:36">
      <c r="D154" s="575" t="s">
        <v>919</v>
      </c>
      <c r="E154" s="581">
        <f>SUM(E150:E152)</f>
        <v>17.218354406032482</v>
      </c>
      <c r="F154" s="581">
        <f>SUM(F150:F152)-F153</f>
        <v>5.6826871721208274</v>
      </c>
      <c r="G154" s="581">
        <f t="shared" ref="G154:N154" si="165">SUM(G150:G152)-G153</f>
        <v>4.682697290919128</v>
      </c>
      <c r="H154" s="581">
        <f t="shared" si="165"/>
        <v>4.2849353559555245</v>
      </c>
      <c r="I154" s="581">
        <f t="shared" si="165"/>
        <v>4.2414726557368914</v>
      </c>
      <c r="J154" s="581">
        <f t="shared" si="165"/>
        <v>5.1935238118261573</v>
      </c>
      <c r="K154" s="581">
        <f t="shared" si="165"/>
        <v>2.8775577370134529</v>
      </c>
      <c r="L154" s="581">
        <f t="shared" si="165"/>
        <v>2.7177198483533433</v>
      </c>
      <c r="M154" s="581">
        <f t="shared" si="165"/>
        <v>2.7086936720157695</v>
      </c>
      <c r="N154" s="581">
        <f t="shared" si="165"/>
        <v>2.2907961427232921</v>
      </c>
      <c r="O154" s="581">
        <f t="shared" ref="O154" si="166">SUM(O150:O152)-O153</f>
        <v>1.9742630934778147</v>
      </c>
      <c r="P154" s="581">
        <f t="shared" ref="P154:Q154" si="167">SUM(P150:P152)-P153</f>
        <v>2.0292012283792835</v>
      </c>
      <c r="Q154" s="581">
        <f t="shared" si="167"/>
        <v>2.1454524645137818</v>
      </c>
      <c r="R154" s="581">
        <f>SUM(R150:R152)</f>
        <v>2.2343090323558021</v>
      </c>
      <c r="S154" s="581">
        <f t="shared" ref="S154:U154" si="168">SUM(S150:S152)</f>
        <v>1.8276635514738016</v>
      </c>
      <c r="T154" s="581">
        <f t="shared" si="168"/>
        <v>1.8688019344382656</v>
      </c>
      <c r="U154" s="581">
        <f t="shared" si="168"/>
        <v>1.9259198189611615</v>
      </c>
      <c r="AG154" s="898">
        <v>2869614404.0245323</v>
      </c>
      <c r="AH154" s="898">
        <v>2394376696.6209774</v>
      </c>
      <c r="AI154" s="898">
        <v>2180556797.6584415</v>
      </c>
      <c r="AJ154" s="898">
        <v>1989865190.6702089</v>
      </c>
    </row>
    <row r="155" spans="4:36">
      <c r="AG155" s="898">
        <v>797115112.22903681</v>
      </c>
      <c r="AH155" s="898">
        <v>665104637.95027149</v>
      </c>
      <c r="AI155" s="898">
        <v>605710221.57178926</v>
      </c>
      <c r="AJ155" s="898">
        <v>552740330.74172473</v>
      </c>
    </row>
    <row r="156" spans="4:36">
      <c r="AG156" s="898">
        <v>374644102.74764729</v>
      </c>
      <c r="AH156" s="898">
        <v>312599179.8366276</v>
      </c>
      <c r="AI156" s="898">
        <v>284683804.13874096</v>
      </c>
      <c r="AJ156" s="898">
        <v>259787955.4486106</v>
      </c>
    </row>
    <row r="157" spans="4:36">
      <c r="AG157" s="898">
        <v>286961440.40245324</v>
      </c>
      <c r="AH157" s="898">
        <v>239437669.66209772</v>
      </c>
      <c r="AI157" s="898">
        <v>218055679.76584414</v>
      </c>
      <c r="AJ157" s="898">
        <v>198986519.06702089</v>
      </c>
    </row>
    <row r="158" spans="4:36">
      <c r="AG158" s="898">
        <v>542038276.31574512</v>
      </c>
      <c r="AH158" s="898">
        <v>452271153.80618465</v>
      </c>
      <c r="AI158" s="898">
        <v>411882950.66881675</v>
      </c>
      <c r="AJ158" s="898">
        <v>375863424.90437287</v>
      </c>
    </row>
    <row r="159" spans="4:36">
      <c r="AG159" s="898">
        <v>87682662.345194057</v>
      </c>
      <c r="AH159" s="898">
        <v>73161510.174529865</v>
      </c>
      <c r="AI159" s="898">
        <v>66628124.37289682</v>
      </c>
      <c r="AJ159" s="898">
        <v>60801436.381589718</v>
      </c>
    </row>
    <row r="160" spans="4:36">
      <c r="AG160" s="898">
        <v>143480720.20122662</v>
      </c>
      <c r="AH160" s="898">
        <v>119718834.83104886</v>
      </c>
      <c r="AI160" s="898">
        <v>109027839.88292207</v>
      </c>
      <c r="AJ160" s="898">
        <v>99493259.533510447</v>
      </c>
    </row>
    <row r="161" spans="2:36">
      <c r="AG161" s="898">
        <v>79711511.222903684</v>
      </c>
      <c r="AH161" s="898">
        <v>66510463.795027152</v>
      </c>
      <c r="AI161" s="898">
        <v>60571022.157178931</v>
      </c>
      <c r="AJ161" s="898">
        <v>55274033.074172474</v>
      </c>
    </row>
    <row r="162" spans="2:36">
      <c r="AG162" s="898">
        <v>557980578.56032574</v>
      </c>
      <c r="AH162" s="898">
        <v>465573246.56519002</v>
      </c>
      <c r="AI162" s="898">
        <v>423997155.10025245</v>
      </c>
      <c r="AJ162" s="898">
        <v>386918231.5192073</v>
      </c>
    </row>
    <row r="163" spans="2:36">
      <c r="AG163" s="898">
        <v>1147845761.609813</v>
      </c>
      <c r="AH163" s="898">
        <v>957750678.64839089</v>
      </c>
      <c r="AI163" s="898">
        <v>872222719.06337655</v>
      </c>
      <c r="AJ163" s="898">
        <v>795946076.26808357</v>
      </c>
    </row>
    <row r="164" spans="2:36">
      <c r="AG164" s="898">
        <v>263047987.03558215</v>
      </c>
      <c r="AH164" s="898">
        <v>219484530.52358961</v>
      </c>
      <c r="AI164" s="898">
        <v>199884373.11869046</v>
      </c>
      <c r="AJ164" s="898">
        <v>182404309.14476916</v>
      </c>
    </row>
    <row r="165" spans="2:36">
      <c r="AG165" s="898">
        <v>326817196.01390505</v>
      </c>
      <c r="AH165" s="898">
        <v>272692901.55961132</v>
      </c>
      <c r="AI165" s="898">
        <v>248341190.84443358</v>
      </c>
      <c r="AJ165" s="898">
        <v>226623535.60410711</v>
      </c>
    </row>
    <row r="166" spans="2:36">
      <c r="AG166" s="898">
        <v>31884604.489161473</v>
      </c>
      <c r="AH166" s="898">
        <v>26604185.518010858</v>
      </c>
      <c r="AI166" s="898">
        <v>24228408.862871572</v>
      </c>
      <c r="AJ166" s="898">
        <v>22109613.22966899</v>
      </c>
    </row>
    <row r="167" spans="2:36">
      <c r="AG167" s="898">
        <v>175365324.69038811</v>
      </c>
      <c r="AH167" s="898">
        <v>146323020.34905973</v>
      </c>
      <c r="AI167" s="898">
        <v>133256248.74579364</v>
      </c>
      <c r="AJ167" s="898">
        <v>121602872.76317944</v>
      </c>
    </row>
    <row r="168" spans="2:36">
      <c r="AG168" s="898">
        <v>350730649.38077623</v>
      </c>
      <c r="AH168" s="898">
        <v>292646040.69811946</v>
      </c>
      <c r="AI168" s="898">
        <v>266512497.49158728</v>
      </c>
      <c r="AJ168" s="898">
        <v>243205745.52635887</v>
      </c>
    </row>
    <row r="169" spans="2:36">
      <c r="AG169" s="898">
        <v>356860675.24890459</v>
      </c>
      <c r="AH169" s="898">
        <v>297760871.13239163</v>
      </c>
      <c r="AI169" s="898">
        <v>271170569.16763651</v>
      </c>
      <c r="AJ169" s="898">
        <v>247456464.74347374</v>
      </c>
    </row>
    <row r="170" spans="2:36">
      <c r="AG170" s="898"/>
      <c r="AH170" s="898"/>
      <c r="AI170" s="898"/>
      <c r="AJ170" s="898"/>
    </row>
    <row r="171" spans="2:36">
      <c r="AG171" s="898">
        <v>2116168547.8812869</v>
      </c>
      <c r="AH171" s="898">
        <v>1657428254.7651536</v>
      </c>
      <c r="AI171" s="898">
        <v>1386872705.5771515</v>
      </c>
      <c r="AJ171" s="898">
        <v>1244104067.7439349</v>
      </c>
    </row>
    <row r="172" spans="2:36">
      <c r="AG172" s="898">
        <v>2100800169.8793359</v>
      </c>
      <c r="AH172" s="898">
        <v>1644417586.1827445</v>
      </c>
      <c r="AI172" s="898">
        <v>1374922818.8284426</v>
      </c>
      <c r="AJ172" s="898">
        <v>1233100220.9057643</v>
      </c>
    </row>
    <row r="173" spans="2:36">
      <c r="B173" s="370">
        <f>0.44/0.19</f>
        <v>2.3157894736842106</v>
      </c>
      <c r="AG173" s="898">
        <v>546702821.76188064</v>
      </c>
      <c r="AH173" s="898">
        <v>485711640.62202275</v>
      </c>
      <c r="AI173" s="898">
        <v>453989031.6032455</v>
      </c>
      <c r="AJ173" s="898">
        <v>434401190.39258552</v>
      </c>
    </row>
    <row r="174" spans="2:36">
      <c r="AG174" s="898">
        <v>303066278.36371672</v>
      </c>
      <c r="AH174" s="898">
        <v>303066278.36371672</v>
      </c>
      <c r="AI174" s="898">
        <v>303066278.36371672</v>
      </c>
      <c r="AJ174" s="898">
        <v>303066278.36371672</v>
      </c>
    </row>
    <row r="175" spans="2:36">
      <c r="AG175" s="898">
        <v>243636543.39816397</v>
      </c>
      <c r="AH175" s="898">
        <v>182645362.258306</v>
      </c>
      <c r="AI175" s="898">
        <v>150922753.23952881</v>
      </c>
      <c r="AJ175" s="898">
        <v>131334912.02886879</v>
      </c>
    </row>
    <row r="176" spans="2:36">
      <c r="AG176" s="898">
        <v>0</v>
      </c>
      <c r="AH176" s="898">
        <v>0</v>
      </c>
      <c r="AI176" s="898">
        <v>0</v>
      </c>
      <c r="AJ176" s="898">
        <v>0</v>
      </c>
    </row>
    <row r="177" spans="33:36">
      <c r="AG177" s="898">
        <v>0</v>
      </c>
      <c r="AH177" s="898">
        <v>0</v>
      </c>
      <c r="AI177" s="898">
        <v>0</v>
      </c>
      <c r="AJ177" s="898">
        <v>0</v>
      </c>
    </row>
    <row r="178" spans="33:36">
      <c r="AG178" s="898">
        <v>0</v>
      </c>
      <c r="AH178" s="898">
        <v>0</v>
      </c>
      <c r="AI178" s="898">
        <v>0</v>
      </c>
      <c r="AJ178" s="898">
        <v>0</v>
      </c>
    </row>
    <row r="179" spans="33:36">
      <c r="AG179" s="898">
        <v>0</v>
      </c>
      <c r="AH179" s="898">
        <v>0</v>
      </c>
      <c r="AI179" s="898">
        <v>0</v>
      </c>
      <c r="AJ179" s="898">
        <v>0</v>
      </c>
    </row>
    <row r="180" spans="33:36">
      <c r="AG180" s="898">
        <v>465426.48993348482</v>
      </c>
      <c r="AH180" s="898">
        <v>498216.59305743442</v>
      </c>
      <c r="AI180" s="898">
        <v>823230.9726300959</v>
      </c>
      <c r="AJ180" s="898">
        <v>768583.39469043515</v>
      </c>
    </row>
    <row r="181" spans="33:36">
      <c r="AG181" s="898">
        <v>1554097348.1174552</v>
      </c>
      <c r="AH181" s="898">
        <v>1158705945.5607219</v>
      </c>
      <c r="AI181" s="898">
        <v>920933787.22519708</v>
      </c>
      <c r="AJ181" s="898">
        <v>798699030.51317883</v>
      </c>
    </row>
    <row r="182" spans="33:36">
      <c r="AG182" s="898">
        <v>298718021.33935952</v>
      </c>
      <c r="AH182" s="898">
        <v>229895443.76482323</v>
      </c>
      <c r="AI182" s="898">
        <v>190428399.08983237</v>
      </c>
      <c r="AJ182" s="898">
        <v>165248923.42258924</v>
      </c>
    </row>
    <row r="183" spans="33:36">
      <c r="AG183" s="898">
        <v>105233306.39999999</v>
      </c>
      <c r="AH183" s="898">
        <v>81591275.999999985</v>
      </c>
      <c r="AI183" s="898">
        <v>43386009.599999994</v>
      </c>
      <c r="AJ183" s="898">
        <v>56754811.199999996</v>
      </c>
    </row>
    <row r="184" spans="33:36">
      <c r="AG184" s="898">
        <v>0</v>
      </c>
      <c r="AH184" s="898">
        <v>0</v>
      </c>
      <c r="AI184" s="898">
        <v>0</v>
      </c>
      <c r="AJ184" s="898">
        <v>0</v>
      </c>
    </row>
    <row r="185" spans="33:36">
      <c r="AG185" s="898">
        <v>791010307.58399999</v>
      </c>
      <c r="AH185" s="898">
        <v>583313965.824</v>
      </c>
      <c r="AI185" s="898">
        <v>427892998.65600008</v>
      </c>
      <c r="AJ185" s="898">
        <v>329753922.04799998</v>
      </c>
    </row>
    <row r="186" spans="33:36">
      <c r="AG186" s="898">
        <v>0</v>
      </c>
      <c r="AH186" s="898">
        <v>0</v>
      </c>
      <c r="AI186" s="898">
        <v>0</v>
      </c>
      <c r="AJ186" s="898">
        <v>0</v>
      </c>
    </row>
    <row r="187" spans="33:36">
      <c r="AG187" s="898">
        <v>0</v>
      </c>
      <c r="AH187" s="898">
        <v>0</v>
      </c>
      <c r="AI187" s="898">
        <v>0</v>
      </c>
      <c r="AJ187" s="898">
        <v>0</v>
      </c>
    </row>
    <row r="188" spans="33:36">
      <c r="AG188" s="898">
        <v>0</v>
      </c>
      <c r="AH188" s="898">
        <v>0</v>
      </c>
      <c r="AI188" s="898">
        <v>0</v>
      </c>
      <c r="AJ188" s="898">
        <v>0</v>
      </c>
    </row>
    <row r="189" spans="33:36">
      <c r="AG189" s="898">
        <v>72396651.163334683</v>
      </c>
      <c r="AH189" s="898">
        <v>59716925.637246788</v>
      </c>
      <c r="AI189" s="898">
        <v>48706782.056897365</v>
      </c>
      <c r="AJ189" s="898">
        <v>41052302.337846056</v>
      </c>
    </row>
    <row r="190" spans="33:36">
      <c r="AG190" s="898">
        <v>286269540</v>
      </c>
      <c r="AH190" s="898">
        <v>203438742</v>
      </c>
      <c r="AI190" s="898">
        <v>208808160</v>
      </c>
      <c r="AJ190" s="898">
        <v>204037403.484</v>
      </c>
    </row>
    <row r="191" spans="33:36">
      <c r="AG191" s="898">
        <v>413.87488868788103</v>
      </c>
      <c r="AH191" s="898">
        <v>398.06999071205979</v>
      </c>
      <c r="AI191" s="898">
        <v>408.47464380730923</v>
      </c>
      <c r="AJ191" s="898">
        <v>428.40592308595149</v>
      </c>
    </row>
    <row r="192" spans="33:36">
      <c r="AG192" s="898">
        <v>0</v>
      </c>
      <c r="AH192" s="898">
        <v>0</v>
      </c>
      <c r="AI192" s="898">
        <v>0</v>
      </c>
      <c r="AJ192" s="898">
        <v>0</v>
      </c>
    </row>
    <row r="193" spans="2:36">
      <c r="AG193" s="898">
        <v>469107.75587250676</v>
      </c>
      <c r="AH193" s="898">
        <v>749194.26466125378</v>
      </c>
      <c r="AI193" s="898">
        <v>1711029.347823356</v>
      </c>
      <c r="AJ193" s="898">
        <v>1851239.6148205032</v>
      </c>
    </row>
    <row r="194" spans="2:36">
      <c r="AG194" s="898">
        <v>0</v>
      </c>
      <c r="AH194" s="898">
        <v>0</v>
      </c>
      <c r="AI194" s="898">
        <v>0</v>
      </c>
      <c r="AJ194" s="898">
        <v>0</v>
      </c>
    </row>
    <row r="195" spans="2:36">
      <c r="AG195" s="898">
        <v>15368378.001950981</v>
      </c>
      <c r="AH195" s="898">
        <v>13010668.582409242</v>
      </c>
      <c r="AI195" s="898">
        <v>11949886.7487089</v>
      </c>
      <c r="AJ195" s="898">
        <v>11003846.838170495</v>
      </c>
    </row>
    <row r="196" spans="2:36">
      <c r="AG196" s="898">
        <v>760000</v>
      </c>
      <c r="AH196" s="898">
        <v>759997</v>
      </c>
      <c r="AI196" s="898">
        <v>759998</v>
      </c>
      <c r="AJ196" s="898">
        <v>759999</v>
      </c>
    </row>
    <row r="197" spans="2:36">
      <c r="E197" s="492"/>
      <c r="F197" s="492"/>
      <c r="G197" s="492"/>
      <c r="H197" s="492"/>
      <c r="I197" s="492"/>
      <c r="J197" s="492"/>
      <c r="K197" s="492"/>
      <c r="L197" s="492"/>
      <c r="M197" s="492"/>
      <c r="N197" s="492"/>
      <c r="O197" s="492"/>
      <c r="P197" s="492"/>
      <c r="Q197" s="492"/>
      <c r="R197" s="492"/>
      <c r="S197" s="492"/>
      <c r="T197" s="492"/>
      <c r="U197" s="492"/>
      <c r="V197" s="492"/>
      <c r="AG197" s="898">
        <v>10705820.257467138</v>
      </c>
      <c r="AH197" s="898">
        <v>8932826.1339717489</v>
      </c>
      <c r="AI197" s="898">
        <v>8135117.0750290947</v>
      </c>
      <c r="AJ197" s="898">
        <v>7423693.9423042117</v>
      </c>
    </row>
    <row r="198" spans="2:36">
      <c r="D198" s="573"/>
      <c r="E198" s="492"/>
      <c r="F198" s="492"/>
      <c r="G198" s="492"/>
      <c r="H198" s="492"/>
      <c r="I198" s="492"/>
      <c r="J198" s="492"/>
      <c r="K198" s="492"/>
      <c r="L198" s="492"/>
      <c r="M198" s="492"/>
      <c r="N198" s="492"/>
      <c r="O198" s="492"/>
      <c r="P198" s="492"/>
      <c r="Q198" s="492"/>
      <c r="R198" s="492"/>
      <c r="S198" s="492"/>
      <c r="T198" s="492"/>
      <c r="U198" s="492"/>
      <c r="V198" s="492"/>
      <c r="AG198" s="898">
        <v>114000</v>
      </c>
      <c r="AH198" s="898">
        <v>113999.55</v>
      </c>
      <c r="AI198" s="898">
        <v>113999.7</v>
      </c>
      <c r="AJ198" s="898">
        <v>113999.84999999999</v>
      </c>
    </row>
    <row r="199" spans="2:36">
      <c r="D199" s="573"/>
      <c r="E199" s="492"/>
      <c r="F199" s="492"/>
      <c r="G199" s="492"/>
      <c r="H199" s="492"/>
      <c r="I199" s="492"/>
      <c r="J199" s="492"/>
      <c r="K199" s="492"/>
      <c r="L199" s="492"/>
      <c r="M199" s="492"/>
      <c r="N199" s="492"/>
      <c r="O199" s="492"/>
      <c r="P199" s="492"/>
      <c r="Q199" s="492"/>
      <c r="R199" s="492"/>
      <c r="S199" s="492"/>
      <c r="T199" s="492"/>
      <c r="U199" s="492"/>
      <c r="V199" s="492"/>
      <c r="AG199" s="898">
        <v>2866455.0643667844</v>
      </c>
      <c r="AH199" s="898">
        <v>2423205.7834929372</v>
      </c>
      <c r="AI199" s="898">
        <v>2223778.7687572734</v>
      </c>
      <c r="AJ199" s="898">
        <v>2045923.2355760529</v>
      </c>
    </row>
    <row r="200" spans="2:36">
      <c r="D200" s="573"/>
      <c r="E200" s="492"/>
      <c r="F200" s="492"/>
      <c r="G200" s="492"/>
      <c r="H200" s="492"/>
      <c r="I200" s="492"/>
      <c r="J200" s="492"/>
      <c r="K200" s="492"/>
      <c r="L200" s="492"/>
      <c r="M200" s="492"/>
      <c r="N200" s="492"/>
      <c r="O200" s="492"/>
      <c r="P200" s="492"/>
      <c r="Q200" s="492"/>
      <c r="R200" s="492"/>
      <c r="S200" s="492"/>
      <c r="T200" s="492"/>
      <c r="U200" s="492"/>
      <c r="V200" s="492"/>
      <c r="AG200" s="898">
        <v>922102.6801170588</v>
      </c>
      <c r="AH200" s="898">
        <v>780640.11494455452</v>
      </c>
      <c r="AI200" s="898">
        <v>716993.20492253394</v>
      </c>
      <c r="AJ200" s="898">
        <v>660230.81029022962</v>
      </c>
    </row>
    <row r="201" spans="2:36">
      <c r="D201" s="573"/>
      <c r="E201" s="492"/>
      <c r="F201" s="492"/>
      <c r="G201" s="492"/>
      <c r="H201" s="492"/>
      <c r="I201" s="492"/>
      <c r="J201" s="492"/>
      <c r="K201" s="492"/>
      <c r="L201" s="492"/>
      <c r="M201" s="492"/>
      <c r="N201" s="492"/>
      <c r="O201" s="492"/>
      <c r="P201" s="492"/>
      <c r="Q201" s="492"/>
      <c r="R201" s="492"/>
      <c r="S201" s="492"/>
      <c r="T201" s="492"/>
      <c r="U201" s="492"/>
      <c r="V201" s="492"/>
      <c r="AG201" s="898">
        <v>0</v>
      </c>
      <c r="AH201" s="898">
        <v>0</v>
      </c>
      <c r="AI201" s="898">
        <v>0</v>
      </c>
      <c r="AJ201" s="898">
        <v>0</v>
      </c>
    </row>
    <row r="202" spans="2:36">
      <c r="D202" s="573"/>
      <c r="E202" s="492"/>
      <c r="F202" s="492"/>
      <c r="G202" s="492"/>
      <c r="H202" s="492"/>
      <c r="I202" s="492"/>
      <c r="J202" s="492"/>
      <c r="K202" s="492"/>
      <c r="L202" s="492"/>
      <c r="M202" s="492"/>
      <c r="N202" s="492"/>
      <c r="O202" s="492"/>
      <c r="P202" s="492"/>
      <c r="Q202" s="492"/>
      <c r="R202" s="492"/>
      <c r="S202" s="492"/>
      <c r="T202" s="492"/>
      <c r="U202" s="492"/>
      <c r="V202" s="492"/>
      <c r="AG202" s="898"/>
      <c r="AH202" s="898"/>
      <c r="AI202" s="898"/>
      <c r="AJ202" s="898"/>
    </row>
    <row r="203" spans="2:36">
      <c r="E203" s="492"/>
      <c r="F203" s="492"/>
      <c r="G203" s="492"/>
      <c r="H203" s="492"/>
      <c r="I203" s="492"/>
      <c r="J203" s="492"/>
      <c r="K203" s="492"/>
      <c r="L203" s="492"/>
      <c r="M203" s="492"/>
      <c r="N203" s="492"/>
      <c r="O203" s="492"/>
      <c r="P203" s="492"/>
      <c r="Q203" s="492"/>
      <c r="R203" s="492"/>
      <c r="S203" s="492"/>
      <c r="T203" s="492"/>
      <c r="U203" s="492"/>
      <c r="V203" s="492"/>
      <c r="AG203" s="898">
        <v>2473029223.1301913</v>
      </c>
      <c r="AH203" s="898">
        <v>1955189125.8975453</v>
      </c>
      <c r="AI203" s="898">
        <v>1658043274.7447882</v>
      </c>
      <c r="AJ203" s="898">
        <v>1491560532.4874086</v>
      </c>
    </row>
    <row r="204" spans="2:36">
      <c r="B204" s="525"/>
      <c r="E204" s="492"/>
      <c r="F204" s="492"/>
      <c r="G204" s="492"/>
      <c r="H204" s="492"/>
      <c r="I204" s="492"/>
      <c r="J204" s="492"/>
      <c r="K204" s="492"/>
      <c r="L204" s="492"/>
      <c r="M204" s="492"/>
      <c r="N204" s="492"/>
      <c r="O204" s="492"/>
      <c r="P204" s="492"/>
      <c r="Q204" s="492"/>
      <c r="R204" s="492"/>
      <c r="S204" s="492"/>
      <c r="T204" s="492"/>
      <c r="U204" s="492"/>
      <c r="V204" s="492"/>
      <c r="AG204" s="898">
        <v>1225784035.4372985</v>
      </c>
      <c r="AH204" s="898">
        <v>648920884.71379113</v>
      </c>
      <c r="AI204" s="898">
        <v>310641999.87888193</v>
      </c>
      <c r="AJ204" s="898">
        <v>67029710.491104841</v>
      </c>
    </row>
    <row r="205" spans="2:36">
      <c r="B205" s="525"/>
      <c r="D205" s="573"/>
      <c r="E205" s="492"/>
      <c r="F205" s="492"/>
      <c r="G205" s="492"/>
      <c r="H205" s="492"/>
      <c r="I205" s="492"/>
      <c r="J205" s="492"/>
      <c r="K205" s="492"/>
      <c r="L205" s="492"/>
      <c r="M205" s="492"/>
      <c r="N205" s="492"/>
      <c r="O205" s="492"/>
      <c r="P205" s="492"/>
      <c r="Q205" s="492"/>
      <c r="R205" s="492"/>
      <c r="S205" s="492"/>
      <c r="T205" s="492"/>
      <c r="U205" s="492"/>
      <c r="V205" s="492"/>
      <c r="AG205" s="898">
        <v>0</v>
      </c>
      <c r="AH205" s="898">
        <v>0</v>
      </c>
      <c r="AI205" s="898">
        <v>0</v>
      </c>
      <c r="AJ205" s="898">
        <v>0</v>
      </c>
    </row>
    <row r="206" spans="2:36">
      <c r="B206" s="573"/>
      <c r="E206" s="492"/>
      <c r="F206" s="492"/>
      <c r="G206" s="492"/>
      <c r="H206" s="492"/>
      <c r="I206" s="492"/>
      <c r="J206" s="492"/>
      <c r="K206" s="492"/>
      <c r="L206" s="492"/>
      <c r="M206" s="492"/>
      <c r="N206" s="492"/>
      <c r="O206" s="492"/>
      <c r="P206" s="492"/>
      <c r="Q206" s="492"/>
      <c r="R206" s="492"/>
      <c r="S206" s="492"/>
      <c r="T206" s="492"/>
      <c r="U206" s="492"/>
      <c r="V206" s="492"/>
      <c r="AG206" s="898">
        <v>1004632223.0127829</v>
      </c>
      <c r="AH206" s="898">
        <v>1057784972.3202955</v>
      </c>
      <c r="AI206" s="898">
        <v>1085926496.8542442</v>
      </c>
      <c r="AJ206" s="898">
        <v>1138628233.1369526</v>
      </c>
    </row>
    <row r="207" spans="2:36">
      <c r="B207" s="573"/>
      <c r="AG207" s="898">
        <v>6323774.6472003823</v>
      </c>
      <c r="AH207" s="898">
        <v>10584403.166748114</v>
      </c>
      <c r="AI207" s="898">
        <v>16504909.01640325</v>
      </c>
      <c r="AJ207" s="898">
        <v>23452578.913891166</v>
      </c>
    </row>
    <row r="208" spans="2:36">
      <c r="AG208" s="898">
        <v>68085756.194289759</v>
      </c>
      <c r="AH208" s="898">
        <v>94874526.926663905</v>
      </c>
      <c r="AI208" s="898">
        <v>120998678.79972346</v>
      </c>
      <c r="AJ208" s="898">
        <v>151617631.71098673</v>
      </c>
    </row>
    <row r="209" spans="33:36">
      <c r="AG209" s="898">
        <v>19549803.885565616</v>
      </c>
      <c r="AH209" s="898">
        <v>14997314.030778449</v>
      </c>
      <c r="AI209" s="898">
        <v>14656834.845665378</v>
      </c>
      <c r="AJ209" s="898">
        <v>10187388.426201172</v>
      </c>
    </row>
    <row r="210" spans="33:36">
      <c r="AG210" s="898">
        <v>0</v>
      </c>
      <c r="AH210" s="898">
        <v>0</v>
      </c>
      <c r="AI210" s="898">
        <v>0</v>
      </c>
      <c r="AJ210" s="898">
        <v>0</v>
      </c>
    </row>
    <row r="211" spans="33:36">
      <c r="AG211" s="898">
        <v>148653629.95305425</v>
      </c>
      <c r="AH211" s="898">
        <v>128027024.73926823</v>
      </c>
      <c r="AI211" s="898">
        <v>109314355.34986989</v>
      </c>
      <c r="AJ211" s="898">
        <v>100644989.80827229</v>
      </c>
    </row>
    <row r="212" spans="33:36">
      <c r="AG212" s="898">
        <v>0</v>
      </c>
      <c r="AH212" s="898">
        <v>0</v>
      </c>
      <c r="AI212" s="898">
        <v>0</v>
      </c>
      <c r="AJ212" s="898">
        <v>0</v>
      </c>
    </row>
    <row r="213" spans="33:36">
      <c r="AG213" s="898">
        <v>0</v>
      </c>
      <c r="AH213" s="898">
        <v>0</v>
      </c>
      <c r="AI213" s="898">
        <v>0</v>
      </c>
      <c r="AJ213" s="898">
        <v>0</v>
      </c>
    </row>
    <row r="214" spans="33:36">
      <c r="AG214" s="898">
        <v>0</v>
      </c>
      <c r="AH214" s="898">
        <v>0</v>
      </c>
      <c r="AI214" s="898">
        <v>0</v>
      </c>
      <c r="AJ214" s="898">
        <v>0</v>
      </c>
    </row>
    <row r="215" spans="33:36">
      <c r="AG215" s="898">
        <v>1.0558946237350817</v>
      </c>
      <c r="AH215" s="898">
        <v>0.60766035478601432</v>
      </c>
      <c r="AI215" s="898">
        <v>0.30982071196687722</v>
      </c>
      <c r="AJ215" s="898">
        <v>7.4891226005171785E-2</v>
      </c>
    </row>
  </sheetData>
  <mergeCells count="1">
    <mergeCell ref="B3:D3"/>
  </mergeCells>
  <phoneticPr fontId="8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1515-6149-4779-A8EF-744E65120320}">
  <dimension ref="A1:X101"/>
  <sheetViews>
    <sheetView zoomScale="70" zoomScaleNormal="70" workbookViewId="0">
      <selection activeCell="P84" sqref="P84"/>
    </sheetView>
  </sheetViews>
  <sheetFormatPr defaultRowHeight="16.5"/>
  <cols>
    <col min="1" max="1" width="9" style="654"/>
    <col min="2" max="2" width="50.625" style="654" bestFit="1" customWidth="1"/>
    <col min="3" max="7" width="9" style="654"/>
    <col min="8" max="8" width="50.625" style="654" bestFit="1" customWidth="1"/>
    <col min="9" max="13" width="9" style="654"/>
    <col min="14" max="14" width="50.625" style="654" bestFit="1" customWidth="1"/>
    <col min="15" max="19" width="9" style="654"/>
    <col min="20" max="20" width="52.25" style="654" bestFit="1" customWidth="1"/>
    <col min="21" max="16384" width="9" style="654"/>
  </cols>
  <sheetData>
    <row r="1" spans="2:24" s="766" customFormat="1" ht="17.25" thickBot="1">
      <c r="B1" s="766" t="s">
        <v>1104</v>
      </c>
      <c r="H1" s="766" t="s">
        <v>1105</v>
      </c>
      <c r="N1" s="766" t="s">
        <v>1106</v>
      </c>
      <c r="T1" s="766" t="s">
        <v>1107</v>
      </c>
    </row>
    <row r="2" spans="2:24">
      <c r="B2" s="767"/>
      <c r="C2" s="768"/>
      <c r="D2" s="768" t="s">
        <v>1079</v>
      </c>
      <c r="E2" s="769"/>
      <c r="F2" s="766"/>
      <c r="G2" s="766"/>
      <c r="H2" s="767"/>
      <c r="I2" s="768"/>
      <c r="J2" s="768" t="s">
        <v>1079</v>
      </c>
      <c r="K2" s="769"/>
      <c r="L2" s="766"/>
      <c r="M2" s="766"/>
      <c r="N2" s="767"/>
      <c r="O2" s="768"/>
      <c r="P2" s="768" t="s">
        <v>1079</v>
      </c>
      <c r="Q2" s="769"/>
      <c r="T2" s="767"/>
      <c r="U2" s="768"/>
      <c r="V2" s="768" t="s">
        <v>1079</v>
      </c>
      <c r="W2" s="769"/>
    </row>
    <row r="3" spans="2:24">
      <c r="B3" s="770" t="s">
        <v>1108</v>
      </c>
      <c r="C3" s="771">
        <v>1.2902011017948662</v>
      </c>
      <c r="D3" s="771">
        <v>1.3938769187960189</v>
      </c>
      <c r="E3" s="773">
        <v>1.4975527357971714</v>
      </c>
      <c r="F3" s="772"/>
      <c r="G3" s="772"/>
      <c r="H3" s="770" t="s">
        <v>1108</v>
      </c>
      <c r="I3" s="771">
        <v>0.90300658886498475</v>
      </c>
      <c r="J3" s="771">
        <v>1.002821440500969</v>
      </c>
      <c r="K3" s="654">
        <v>1.1026362921369535</v>
      </c>
      <c r="L3" s="771"/>
      <c r="M3" s="771"/>
      <c r="N3" s="770" t="s">
        <v>1108</v>
      </c>
      <c r="O3" s="771">
        <v>0.65279955069091011</v>
      </c>
      <c r="P3" s="771">
        <v>0.75123754193493764</v>
      </c>
      <c r="Q3" s="654">
        <v>0.84967553317896527</v>
      </c>
      <c r="T3" s="770" t="s">
        <v>1108</v>
      </c>
      <c r="U3" s="771">
        <v>0.48778819948525015</v>
      </c>
      <c r="V3" s="771">
        <v>0.59243641998827679</v>
      </c>
      <c r="W3" s="654">
        <v>0.69708464049130336</v>
      </c>
    </row>
    <row r="4" spans="2:24">
      <c r="B4" s="770" t="s">
        <v>1081</v>
      </c>
      <c r="C4" s="771">
        <v>1.2803137479395512</v>
      </c>
      <c r="D4" s="771">
        <v>1.3938769187960189</v>
      </c>
      <c r="E4" s="773">
        <v>1.5074400896524869</v>
      </c>
      <c r="F4" s="772"/>
      <c r="G4" s="772"/>
      <c r="H4" s="770" t="s">
        <v>1081</v>
      </c>
      <c r="I4" s="654">
        <v>0.91178395047356176</v>
      </c>
      <c r="J4" s="771">
        <v>1.002821440500969</v>
      </c>
      <c r="K4" s="654">
        <v>1.0938589305283761</v>
      </c>
      <c r="L4" s="771"/>
      <c r="M4" s="771"/>
      <c r="N4" s="770" t="s">
        <v>1081</v>
      </c>
      <c r="O4" s="654">
        <v>0.68011058896821475</v>
      </c>
      <c r="P4" s="771">
        <v>0.75123754193493764</v>
      </c>
      <c r="Q4" s="654">
        <v>0.82236449490166064</v>
      </c>
      <c r="T4" s="770" t="s">
        <v>1081</v>
      </c>
      <c r="U4" s="654">
        <v>0.53103162073022792</v>
      </c>
      <c r="V4" s="771">
        <v>0.59243641998827679</v>
      </c>
      <c r="W4" s="654">
        <v>0.65384121924632554</v>
      </c>
    </row>
    <row r="5" spans="2:24">
      <c r="B5" s="770" t="s">
        <v>1080</v>
      </c>
      <c r="C5" s="771">
        <v>1.3757472517007892</v>
      </c>
      <c r="D5" s="771">
        <v>1.3938769187960189</v>
      </c>
      <c r="E5" s="773">
        <v>1.4120065858912485</v>
      </c>
      <c r="F5" s="772"/>
      <c r="G5" s="772"/>
      <c r="H5" s="770" t="s">
        <v>1080</v>
      </c>
      <c r="I5" s="654">
        <v>0.98754075378259631</v>
      </c>
      <c r="J5" s="771">
        <v>1.002821440500969</v>
      </c>
      <c r="K5" s="654">
        <v>1.0181021272193418</v>
      </c>
      <c r="L5" s="771"/>
      <c r="M5" s="771"/>
      <c r="N5" s="770" t="s">
        <v>1080</v>
      </c>
      <c r="O5" s="654">
        <v>0.74258328115312788</v>
      </c>
      <c r="P5" s="771">
        <v>0.75123754193493764</v>
      </c>
      <c r="Q5" s="654">
        <v>0.7598918027167475</v>
      </c>
      <c r="T5" s="770" t="s">
        <v>1080</v>
      </c>
      <c r="U5" s="654">
        <v>0.57975417099355964</v>
      </c>
      <c r="V5" s="771">
        <v>0.59243641998827679</v>
      </c>
      <c r="W5" s="654">
        <v>0.60511866898299438</v>
      </c>
    </row>
    <row r="6" spans="2:24">
      <c r="B6" s="770" t="s">
        <v>1109</v>
      </c>
      <c r="C6" s="771">
        <v>1.340458898148353</v>
      </c>
      <c r="D6" s="771">
        <v>1.3938769187960189</v>
      </c>
      <c r="E6" s="773">
        <v>1.4472949394436847</v>
      </c>
      <c r="F6" s="772"/>
      <c r="G6" s="772"/>
      <c r="H6" s="770" t="s">
        <v>1109</v>
      </c>
      <c r="I6" s="654">
        <v>0.95813018448901111</v>
      </c>
      <c r="J6" s="771">
        <v>1.002821440500969</v>
      </c>
      <c r="K6" s="654">
        <v>1.0475126965129271</v>
      </c>
      <c r="L6" s="771"/>
      <c r="M6" s="771"/>
      <c r="N6" s="770" t="s">
        <v>1109</v>
      </c>
      <c r="O6" s="654">
        <v>0.71180924674077617</v>
      </c>
      <c r="P6" s="771">
        <v>0.75123754193493764</v>
      </c>
      <c r="Q6" s="654">
        <v>0.79066583712909966</v>
      </c>
      <c r="T6" s="770" t="s">
        <v>1109</v>
      </c>
      <c r="U6" s="654">
        <v>0.55475749810806052</v>
      </c>
      <c r="V6" s="771">
        <v>0.59243641998827679</v>
      </c>
      <c r="W6" s="654">
        <v>0.63011534186849327</v>
      </c>
    </row>
    <row r="7" spans="2:24">
      <c r="B7" s="770" t="s">
        <v>1255</v>
      </c>
      <c r="C7" s="771">
        <v>1.5025542652504766</v>
      </c>
      <c r="D7" s="771">
        <v>1.3938769187960189</v>
      </c>
      <c r="E7" s="773">
        <v>1.285199572341561</v>
      </c>
      <c r="F7" s="772"/>
      <c r="G7" s="772"/>
      <c r="H7" s="770" t="s">
        <v>1255</v>
      </c>
      <c r="I7" s="654">
        <v>1.1272132680048506</v>
      </c>
      <c r="J7" s="771">
        <v>1.002821440500969</v>
      </c>
      <c r="K7" s="654">
        <v>0.87842961299708777</v>
      </c>
      <c r="L7" s="771"/>
      <c r="M7" s="771"/>
      <c r="N7" s="770" t="s">
        <v>1255</v>
      </c>
      <c r="O7" s="654">
        <v>0.88724916039885882</v>
      </c>
      <c r="P7" s="771">
        <v>0.75123754193493764</v>
      </c>
      <c r="Q7" s="654">
        <v>0.61522592347101646</v>
      </c>
      <c r="T7" s="770" t="s">
        <v>1255</v>
      </c>
      <c r="U7" s="654">
        <v>0.75219744899729846</v>
      </c>
      <c r="V7" s="771">
        <v>0.59243641998827679</v>
      </c>
      <c r="W7" s="654">
        <v>0.43267539097925484</v>
      </c>
    </row>
    <row r="8" spans="2:24">
      <c r="B8" s="770" t="s">
        <v>1111</v>
      </c>
      <c r="C8" s="771">
        <v>1.4056686587074092</v>
      </c>
      <c r="D8" s="771">
        <v>1.3938769187960189</v>
      </c>
      <c r="E8" s="773">
        <v>1.3820851788846287</v>
      </c>
      <c r="F8" s="772"/>
      <c r="G8" s="772"/>
      <c r="H8" s="770" t="s">
        <v>1111</v>
      </c>
      <c r="I8" s="654">
        <v>1.0206835925940738</v>
      </c>
      <c r="J8" s="771">
        <v>1.002821440500969</v>
      </c>
      <c r="K8" s="654">
        <v>0.98495928840786451</v>
      </c>
      <c r="L8" s="771"/>
      <c r="M8" s="771"/>
      <c r="N8" s="770" t="s">
        <v>1111</v>
      </c>
      <c r="O8" s="654">
        <v>0.77550062084753335</v>
      </c>
      <c r="P8" s="771">
        <v>0.75123754193493764</v>
      </c>
      <c r="Q8" s="654">
        <v>0.72697446302234214</v>
      </c>
      <c r="T8" s="770" t="s">
        <v>1111</v>
      </c>
      <c r="U8" s="654">
        <v>0.62649513931227285</v>
      </c>
      <c r="V8" s="771">
        <v>0.59243641998827679</v>
      </c>
      <c r="W8" s="654">
        <v>0.5583777006642805</v>
      </c>
    </row>
    <row r="9" spans="2:24">
      <c r="B9" s="770" t="s">
        <v>1082</v>
      </c>
      <c r="C9" s="771">
        <v>1.4160108993857918</v>
      </c>
      <c r="D9" s="771">
        <v>1.3938769187960189</v>
      </c>
      <c r="E9" s="773">
        <v>1.3813434705677423</v>
      </c>
      <c r="F9" s="772"/>
      <c r="G9" s="772"/>
      <c r="H9" s="770" t="s">
        <v>1082</v>
      </c>
      <c r="I9" s="654">
        <v>1.0228980786551387</v>
      </c>
      <c r="J9" s="771">
        <v>1.002821440500969</v>
      </c>
      <c r="K9" s="654">
        <v>0.99145297002262223</v>
      </c>
      <c r="L9" s="771"/>
      <c r="M9" s="771"/>
      <c r="N9" s="770" t="s">
        <v>1082</v>
      </c>
      <c r="O9" s="654">
        <v>0.77071117761716312</v>
      </c>
      <c r="P9" s="771">
        <v>0.75123754193493764</v>
      </c>
      <c r="Q9" s="654">
        <v>0.74021052383263308</v>
      </c>
      <c r="T9" s="770" t="s">
        <v>1082</v>
      </c>
      <c r="U9" s="654">
        <v>0.61234391496541651</v>
      </c>
      <c r="V9" s="771">
        <v>0.59243641998827679</v>
      </c>
      <c r="W9" s="654">
        <v>0.58116372745840483</v>
      </c>
    </row>
    <row r="10" spans="2:24">
      <c r="B10" s="770" t="s">
        <v>1083</v>
      </c>
      <c r="C10" s="771">
        <v>1.3469415138159726</v>
      </c>
      <c r="D10" s="771">
        <v>1.3938769187960189</v>
      </c>
      <c r="E10" s="773">
        <v>1.4432823976454419</v>
      </c>
      <c r="F10" s="772"/>
      <c r="G10" s="772"/>
      <c r="H10" s="770" t="s">
        <v>1083</v>
      </c>
      <c r="I10" s="654">
        <v>0.96024865796048009</v>
      </c>
      <c r="J10" s="771">
        <v>1.002821440500969</v>
      </c>
      <c r="K10" s="654">
        <v>1.0476347047789574</v>
      </c>
      <c r="L10" s="771"/>
      <c r="M10" s="771"/>
      <c r="N10" s="770" t="s">
        <v>1083</v>
      </c>
      <c r="O10" s="654">
        <v>0.70994343428575013</v>
      </c>
      <c r="P10" s="771">
        <v>0.75123754193493764</v>
      </c>
      <c r="Q10" s="654">
        <v>0.79470483838066108</v>
      </c>
      <c r="T10" s="770" t="s">
        <v>1083</v>
      </c>
      <c r="U10" s="654">
        <v>0.55022230784064041</v>
      </c>
      <c r="V10" s="771">
        <v>0.59243641998827679</v>
      </c>
      <c r="W10" s="654">
        <v>0.6368721380937008</v>
      </c>
    </row>
    <row r="11" spans="2:24">
      <c r="B11" s="770"/>
      <c r="C11" s="771"/>
      <c r="D11" s="771"/>
      <c r="E11" s="773"/>
      <c r="F11" s="772">
        <f>F13*0.7</f>
        <v>0.97571384315721321</v>
      </c>
      <c r="G11" s="772"/>
      <c r="H11" s="770"/>
      <c r="I11" s="771"/>
      <c r="J11" s="772"/>
      <c r="K11" s="773"/>
      <c r="L11" s="772">
        <f>L13*0.7</f>
        <v>0.70197500835067828</v>
      </c>
      <c r="M11" s="771"/>
      <c r="N11" s="770"/>
      <c r="O11" s="771"/>
      <c r="P11" s="772"/>
      <c r="Q11" s="773"/>
      <c r="R11" s="772">
        <f>R13*0.7</f>
        <v>0.52586627935445629</v>
      </c>
      <c r="T11" s="770"/>
      <c r="U11" s="771"/>
      <c r="V11" s="772"/>
      <c r="W11" s="773"/>
      <c r="X11" s="924">
        <f>X13*0.7</f>
        <v>0.41470549399179374</v>
      </c>
    </row>
    <row r="12" spans="2:24">
      <c r="B12" s="770"/>
      <c r="C12" s="771"/>
      <c r="D12" s="771"/>
      <c r="E12" s="773"/>
      <c r="F12" s="772">
        <f>F13*0.85</f>
        <v>1.1847953809766161</v>
      </c>
      <c r="G12" s="772"/>
      <c r="H12" s="770"/>
      <c r="I12" s="771"/>
      <c r="J12" s="771"/>
      <c r="K12" s="773"/>
      <c r="L12" s="772">
        <f>L13*0.85</f>
        <v>0.85239822442582358</v>
      </c>
      <c r="M12" s="771"/>
      <c r="N12" s="770"/>
      <c r="O12" s="771"/>
      <c r="P12" s="771"/>
      <c r="Q12" s="773"/>
      <c r="R12" s="772">
        <f>R13*0.85</f>
        <v>0.63855191064469696</v>
      </c>
      <c r="T12" s="770"/>
      <c r="U12" s="771"/>
      <c r="V12" s="771"/>
      <c r="W12" s="773"/>
      <c r="X12" s="772">
        <f>X13*0.85</f>
        <v>0.50357095699003529</v>
      </c>
    </row>
    <row r="13" spans="2:24">
      <c r="B13" s="770"/>
      <c r="C13" s="771"/>
      <c r="D13" s="771"/>
      <c r="E13" s="773"/>
      <c r="F13" s="771">
        <v>1.3938769187960189</v>
      </c>
      <c r="G13" s="772"/>
      <c r="H13" s="770"/>
      <c r="I13" s="771"/>
      <c r="J13" s="771"/>
      <c r="K13" s="773"/>
      <c r="L13" s="771">
        <v>1.002821440500969</v>
      </c>
      <c r="M13" s="771"/>
      <c r="N13" s="770"/>
      <c r="O13" s="771"/>
      <c r="P13" s="771"/>
      <c r="Q13" s="773"/>
      <c r="R13" s="771">
        <v>0.75123754193493764</v>
      </c>
      <c r="T13" s="770"/>
      <c r="U13" s="771"/>
      <c r="V13" s="771"/>
      <c r="W13" s="773"/>
      <c r="X13" s="771">
        <v>0.59243641998827679</v>
      </c>
    </row>
    <row r="14" spans="2:24">
      <c r="B14" s="771"/>
      <c r="C14" s="771"/>
      <c r="D14" s="771"/>
      <c r="E14" s="773"/>
      <c r="F14" s="772">
        <f>F13*1.15</f>
        <v>1.6029584566154216</v>
      </c>
      <c r="G14" s="772"/>
      <c r="H14" s="770"/>
      <c r="I14" s="771"/>
      <c r="J14" s="771"/>
      <c r="K14" s="773"/>
      <c r="L14" s="772">
        <f>L13*1.15</f>
        <v>1.1532446565761143</v>
      </c>
      <c r="M14" s="771"/>
      <c r="N14" s="770"/>
      <c r="O14" s="771"/>
      <c r="P14" s="771"/>
      <c r="Q14" s="773"/>
      <c r="R14" s="772">
        <f>R13*1.15</f>
        <v>0.8639231732251782</v>
      </c>
      <c r="T14" s="770"/>
      <c r="U14" s="771"/>
      <c r="V14" s="771"/>
      <c r="W14" s="773"/>
      <c r="X14" s="924">
        <f>X13*1.15</f>
        <v>0.68130188298651828</v>
      </c>
    </row>
    <row r="15" spans="2:24">
      <c r="B15" s="770"/>
      <c r="C15" s="771"/>
      <c r="D15" s="771"/>
      <c r="E15" s="773"/>
      <c r="F15" s="772">
        <f>F13*1.3</f>
        <v>1.8120399944348247</v>
      </c>
      <c r="G15" s="772"/>
      <c r="H15" s="770"/>
      <c r="I15" s="771"/>
      <c r="J15" s="771"/>
      <c r="K15" s="773"/>
      <c r="L15" s="772">
        <f>L13*1.3</f>
        <v>1.3036678726512598</v>
      </c>
      <c r="M15" s="771"/>
      <c r="N15" s="770"/>
      <c r="O15" s="771"/>
      <c r="P15" s="771"/>
      <c r="Q15" s="773"/>
      <c r="R15" s="772">
        <f>R13*1.3</f>
        <v>0.97660880451541898</v>
      </c>
      <c r="T15" s="770"/>
      <c r="U15" s="771"/>
      <c r="V15" s="771"/>
      <c r="W15" s="773"/>
      <c r="X15" s="924">
        <f>X13*1.3</f>
        <v>0.77016734598475989</v>
      </c>
    </row>
    <row r="16" spans="2:24">
      <c r="B16" s="774"/>
      <c r="C16" s="775">
        <v>-0.2</v>
      </c>
      <c r="D16" s="775">
        <v>0.2</v>
      </c>
      <c r="E16" s="776"/>
      <c r="F16" s="777"/>
      <c r="G16" s="777"/>
      <c r="H16" s="774"/>
      <c r="I16" s="775">
        <v>-0.2</v>
      </c>
      <c r="J16" s="775">
        <v>0.2</v>
      </c>
      <c r="K16" s="776"/>
      <c r="L16" s="775"/>
      <c r="M16" s="775"/>
      <c r="N16" s="774"/>
      <c r="O16" s="775">
        <v>-0.2</v>
      </c>
      <c r="P16" s="775">
        <v>0.2</v>
      </c>
      <c r="Q16" s="778"/>
      <c r="T16" s="774"/>
      <c r="U16" s="775">
        <v>-0.2</v>
      </c>
      <c r="V16" s="775">
        <v>0.2</v>
      </c>
      <c r="W16" s="778"/>
    </row>
    <row r="17" spans="2:23">
      <c r="B17" s="770" t="s">
        <v>1108</v>
      </c>
      <c r="C17" s="779">
        <f>(C3-D3)/D3</f>
        <v>-7.4379463210212396E-2</v>
      </c>
      <c r="D17" s="779">
        <f>(E3-D3)/D3</f>
        <v>7.4379463210212229E-2</v>
      </c>
      <c r="E17" s="780"/>
      <c r="F17" s="781"/>
      <c r="G17" s="781"/>
      <c r="H17" s="770" t="s">
        <v>1108</v>
      </c>
      <c r="I17" s="779">
        <f>(I3-J3)/J3</f>
        <v>-9.9534022314202608E-2</v>
      </c>
      <c r="J17" s="779">
        <f>(K3-J3)/J3</f>
        <v>9.953402231420283E-2</v>
      </c>
      <c r="K17" s="780"/>
      <c r="L17" s="779"/>
      <c r="M17" s="779"/>
      <c r="N17" s="770" t="s">
        <v>1108</v>
      </c>
      <c r="O17" s="779">
        <f>(O3-P3)/P3</f>
        <v>-0.13103444083809238</v>
      </c>
      <c r="P17" s="779">
        <f>(Q3-P3)/P3</f>
        <v>0.13103444083809251</v>
      </c>
      <c r="Q17" s="773"/>
      <c r="T17" s="770" t="s">
        <v>1108</v>
      </c>
      <c r="U17" s="779">
        <f>(U3-V3)/V3</f>
        <v>-0.17664042414053044</v>
      </c>
      <c r="V17" s="779">
        <f>(W3-V3)/V3</f>
        <v>0.17664042414053033</v>
      </c>
      <c r="W17" s="773"/>
    </row>
    <row r="18" spans="2:23">
      <c r="B18" s="770" t="s">
        <v>1081</v>
      </c>
      <c r="C18" s="779">
        <f>(C4-D4)/D4</f>
        <v>-8.1472882809882186E-2</v>
      </c>
      <c r="D18" s="779">
        <f t="shared" ref="D18:D24" si="0">(E4-D4)/D4</f>
        <v>8.1472882809882352E-2</v>
      </c>
      <c r="E18" s="780"/>
      <c r="F18" s="781"/>
      <c r="G18" s="781"/>
      <c r="H18" s="770" t="s">
        <v>1081</v>
      </c>
      <c r="I18" s="779">
        <f>(I4-J4)/J4</f>
        <v>-9.0781355833326222E-2</v>
      </c>
      <c r="J18" s="779">
        <f t="shared" ref="J18:J23" si="1">(K4-J4)/J4</f>
        <v>9.0781355833326111E-2</v>
      </c>
      <c r="K18" s="780"/>
      <c r="L18" s="779"/>
      <c r="M18" s="779"/>
      <c r="N18" s="770" t="s">
        <v>1081</v>
      </c>
      <c r="O18" s="779">
        <f>(O4-P4)/P4</f>
        <v>-9.4679710472833342E-2</v>
      </c>
      <c r="P18" s="779">
        <f t="shared" ref="P18:P24" si="2">(Q4-P4)/P4</f>
        <v>9.4679710472833481E-2</v>
      </c>
      <c r="Q18" s="773"/>
      <c r="T18" s="770" t="s">
        <v>1081</v>
      </c>
      <c r="U18" s="779">
        <f>(U4-V4)/V4</f>
        <v>-0.1036479142508895</v>
      </c>
      <c r="V18" s="779">
        <f t="shared" ref="V18:V24" si="3">(W4-V4)/V4</f>
        <v>0.10364791425088932</v>
      </c>
      <c r="W18" s="773"/>
    </row>
    <row r="19" spans="2:23">
      <c r="B19" s="770" t="s">
        <v>1080</v>
      </c>
      <c r="C19" s="779">
        <f t="shared" ref="C19" si="4">(C5-D5)/D5</f>
        <v>-1.3006648471437164E-2</v>
      </c>
      <c r="D19" s="779">
        <f t="shared" si="0"/>
        <v>1.3006648471437005E-2</v>
      </c>
      <c r="E19" s="780"/>
      <c r="F19" s="781"/>
      <c r="G19" s="781"/>
      <c r="H19" s="770" t="s">
        <v>1080</v>
      </c>
      <c r="I19" s="779">
        <f t="shared" ref="I19" si="5">(I5-J5)/J5</f>
        <v>-1.5237694470053482E-2</v>
      </c>
      <c r="J19" s="779">
        <f t="shared" si="1"/>
        <v>1.5237694470053593E-2</v>
      </c>
      <c r="K19" s="780"/>
      <c r="L19" s="779"/>
      <c r="M19" s="779"/>
      <c r="N19" s="770" t="s">
        <v>1080</v>
      </c>
      <c r="O19" s="779">
        <f t="shared" ref="O19" si="6">(O5-P5)/P5</f>
        <v>-1.1520005722183771E-2</v>
      </c>
      <c r="P19" s="779">
        <f t="shared" si="2"/>
        <v>1.152000572218392E-2</v>
      </c>
      <c r="Q19" s="773"/>
      <c r="T19" s="770" t="s">
        <v>1080</v>
      </c>
      <c r="U19" s="779">
        <f t="shared" ref="U19" si="7">(U5-V5)/V5</f>
        <v>-2.1406936789888958E-2</v>
      </c>
      <c r="V19" s="779">
        <f t="shared" si="3"/>
        <v>2.1406936789889707E-2</v>
      </c>
      <c r="W19" s="773"/>
    </row>
    <row r="20" spans="2:23">
      <c r="B20" s="770" t="s">
        <v>1109</v>
      </c>
      <c r="C20" s="779">
        <f t="shared" ref="C20" si="8">(C6-D6)/D6</f>
        <v>-3.8323341126709064E-2</v>
      </c>
      <c r="D20" s="779">
        <f t="shared" si="0"/>
        <v>3.8323341126708904E-2</v>
      </c>
      <c r="E20" s="780"/>
      <c r="F20" s="781"/>
      <c r="G20" s="781"/>
      <c r="H20" s="770" t="s">
        <v>1109</v>
      </c>
      <c r="I20" s="779">
        <f t="shared" ref="I20" si="9">(I6-J6)/J6</f>
        <v>-4.4565517057186123E-2</v>
      </c>
      <c r="J20" s="779">
        <f t="shared" si="1"/>
        <v>4.4565517057186345E-2</v>
      </c>
      <c r="K20" s="780"/>
      <c r="L20" s="779"/>
      <c r="M20" s="779"/>
      <c r="N20" s="770" t="s">
        <v>1109</v>
      </c>
      <c r="O20" s="779">
        <f t="shared" ref="O20" si="10">(O6-P6)/P6</f>
        <v>-5.2484457968657042E-2</v>
      </c>
      <c r="P20" s="779">
        <f t="shared" si="2"/>
        <v>5.2484457968657784E-2</v>
      </c>
      <c r="Q20" s="773"/>
      <c r="T20" s="770" t="s">
        <v>1109</v>
      </c>
      <c r="U20" s="779">
        <f t="shared" ref="U20" si="11">(U6-V6)/V6</f>
        <v>-6.3599941882306735E-2</v>
      </c>
      <c r="V20" s="779">
        <f t="shared" si="3"/>
        <v>6.3599941882307109E-2</v>
      </c>
      <c r="W20" s="773"/>
    </row>
    <row r="21" spans="2:23">
      <c r="B21" s="770" t="s">
        <v>1110</v>
      </c>
      <c r="C21" s="779">
        <f t="shared" ref="C21" si="12">(C7-D7)/D7</f>
        <v>7.7967677769088334E-2</v>
      </c>
      <c r="D21" s="779">
        <f t="shared" si="0"/>
        <v>-7.7967677769088486E-2</v>
      </c>
      <c r="E21" s="780"/>
      <c r="F21" s="781"/>
      <c r="G21" s="781"/>
      <c r="H21" s="770" t="s">
        <v>1110</v>
      </c>
      <c r="I21" s="779">
        <f t="shared" ref="I21" si="13">(I7-J7)/J7</f>
        <v>0.12404185080221304</v>
      </c>
      <c r="J21" s="779">
        <f t="shared" si="1"/>
        <v>-0.12404185080221271</v>
      </c>
      <c r="K21" s="780"/>
      <c r="L21" s="779"/>
      <c r="M21" s="779"/>
      <c r="N21" s="770" t="s">
        <v>1110</v>
      </c>
      <c r="O21" s="779">
        <f t="shared" ref="O21" si="14">(O7-P7)/P7</f>
        <v>0.1810500818603934</v>
      </c>
      <c r="P21" s="779">
        <f t="shared" si="2"/>
        <v>-0.1810500818603934</v>
      </c>
      <c r="Q21" s="773"/>
      <c r="T21" s="770" t="s">
        <v>1110</v>
      </c>
      <c r="U21" s="779">
        <f t="shared" ref="U21" si="15">(U7-V7)/V7</f>
        <v>0.26966780504848614</v>
      </c>
      <c r="V21" s="779">
        <f t="shared" si="3"/>
        <v>-0.26966780504848659</v>
      </c>
      <c r="W21" s="773"/>
    </row>
    <row r="22" spans="2:23">
      <c r="B22" s="770" t="s">
        <v>1111</v>
      </c>
      <c r="C22" s="779">
        <f t="shared" ref="C22" si="16">(C8-D8)/D8</f>
        <v>8.459670830603571E-3</v>
      </c>
      <c r="D22" s="779">
        <f t="shared" si="0"/>
        <v>-8.459670830603571E-3</v>
      </c>
      <c r="E22" s="780"/>
      <c r="F22" s="781"/>
      <c r="G22" s="781"/>
      <c r="H22" s="770" t="s">
        <v>1111</v>
      </c>
      <c r="I22" s="779">
        <f t="shared" ref="I22" si="17">(I8-J8)/J8</f>
        <v>1.7811896885832051E-2</v>
      </c>
      <c r="J22" s="779">
        <f t="shared" si="1"/>
        <v>-1.7811896885831721E-2</v>
      </c>
      <c r="K22" s="780"/>
      <c r="L22" s="779"/>
      <c r="M22" s="779"/>
      <c r="N22" s="770" t="s">
        <v>1111</v>
      </c>
      <c r="O22" s="779">
        <f t="shared" ref="O22" si="18">(O8-P8)/P8</f>
        <v>3.2297479236863089E-2</v>
      </c>
      <c r="P22" s="779">
        <f t="shared" si="2"/>
        <v>-3.2297479236862797E-2</v>
      </c>
      <c r="Q22" s="773"/>
      <c r="T22" s="770" t="s">
        <v>1111</v>
      </c>
      <c r="U22" s="779">
        <f t="shared" ref="U22" si="19">(U8-V8)/V8</f>
        <v>5.7489239646458648E-2</v>
      </c>
      <c r="V22" s="779">
        <f t="shared" si="3"/>
        <v>-5.7489239646459023E-2</v>
      </c>
      <c r="W22" s="773"/>
    </row>
    <row r="23" spans="2:23">
      <c r="B23" s="770" t="s">
        <v>1082</v>
      </c>
      <c r="C23" s="779">
        <f t="shared" ref="C23" si="20">(C9-D9)/D9</f>
        <v>1.587943690816793E-2</v>
      </c>
      <c r="D23" s="779">
        <f t="shared" si="0"/>
        <v>-8.9917897766056461E-3</v>
      </c>
      <c r="E23" s="780"/>
      <c r="F23" s="781"/>
      <c r="G23" s="781"/>
      <c r="H23" s="770" t="s">
        <v>1082</v>
      </c>
      <c r="I23" s="779">
        <f t="shared" ref="I23" si="21">(I9-J9)/J9</f>
        <v>2.002015248511264E-2</v>
      </c>
      <c r="J23" s="779">
        <f t="shared" si="1"/>
        <v>-1.1336485259696424E-2</v>
      </c>
      <c r="K23" s="780"/>
      <c r="L23" s="779"/>
      <c r="M23" s="779"/>
      <c r="N23" s="770" t="s">
        <v>1082</v>
      </c>
      <c r="O23" s="779">
        <f t="shared" ref="O23" si="22">(O9-P9)/P9</f>
        <v>2.5922074703652175E-2</v>
      </c>
      <c r="P23" s="779">
        <f t="shared" si="2"/>
        <v>-1.4678470506016816E-2</v>
      </c>
      <c r="Q23" s="773"/>
      <c r="T23" s="770" t="s">
        <v>1082</v>
      </c>
      <c r="U23" s="779">
        <f t="shared" ref="U23" si="23">(U9-V9)/V9</f>
        <v>3.3602753486245258E-2</v>
      </c>
      <c r="V23" s="779">
        <f t="shared" si="3"/>
        <v>-1.9027683223956791E-2</v>
      </c>
      <c r="W23" s="773"/>
    </row>
    <row r="24" spans="2:23">
      <c r="B24" s="770" t="s">
        <v>1083</v>
      </c>
      <c r="C24" s="779">
        <f t="shared" ref="C24" si="24">(C10-D10)/D10</f>
        <v>-3.3672560573416672E-2</v>
      </c>
      <c r="D24" s="779">
        <f t="shared" si="0"/>
        <v>3.5444649511879145E-2</v>
      </c>
      <c r="E24" s="780"/>
      <c r="F24" s="781"/>
      <c r="G24" s="781"/>
      <c r="H24" s="770" t="s">
        <v>1083</v>
      </c>
      <c r="I24" s="779">
        <f t="shared" ref="I24" si="25">(I10-J10)/J10</f>
        <v>-4.2453003915852924E-2</v>
      </c>
      <c r="J24" s="779">
        <f>(K10-J10)/J10</f>
        <v>4.468718205267079E-2</v>
      </c>
      <c r="K24" s="780"/>
      <c r="L24" s="779"/>
      <c r="M24" s="779"/>
      <c r="N24" s="770" t="s">
        <v>1083</v>
      </c>
      <c r="O24" s="779">
        <f t="shared" ref="O24" si="26">(O10-P10)/P10</f>
        <v>-5.4968109744392757E-2</v>
      </c>
      <c r="P24" s="779">
        <f t="shared" si="2"/>
        <v>5.7860921505288689E-2</v>
      </c>
      <c r="Q24" s="773"/>
      <c r="T24" s="770" t="s">
        <v>1083</v>
      </c>
      <c r="U24" s="779">
        <f t="shared" ref="U24" si="27">(U10-V10)/V10</f>
        <v>-7.1255092906799544E-2</v>
      </c>
      <c r="V24" s="779">
        <f t="shared" si="3"/>
        <v>7.5005041226708036E-2</v>
      </c>
      <c r="W24" s="773"/>
    </row>
    <row r="25" spans="2:23" ht="17.25" thickBot="1">
      <c r="B25" s="782"/>
      <c r="C25" s="783"/>
      <c r="D25" s="783"/>
      <c r="E25" s="784"/>
      <c r="F25" s="781"/>
      <c r="G25" s="781"/>
      <c r="H25" s="785"/>
      <c r="I25" s="783"/>
      <c r="J25" s="783"/>
      <c r="K25" s="784"/>
      <c r="L25" s="779"/>
      <c r="M25" s="779"/>
      <c r="N25" s="785"/>
      <c r="O25" s="783"/>
      <c r="P25" s="783"/>
      <c r="Q25" s="786"/>
      <c r="T25" s="785"/>
      <c r="U25" s="783"/>
      <c r="V25" s="783"/>
      <c r="W25" s="786"/>
    </row>
    <row r="26" spans="2:23">
      <c r="C26" s="787"/>
      <c r="D26" s="787"/>
      <c r="I26" s="787"/>
      <c r="J26" s="787"/>
      <c r="O26" s="787"/>
      <c r="P26" s="787"/>
    </row>
    <row r="27" spans="2:23">
      <c r="C27" s="787"/>
      <c r="D27" s="787"/>
      <c r="I27" s="787"/>
      <c r="J27" s="787"/>
      <c r="O27" s="787"/>
      <c r="P27" s="787"/>
    </row>
    <row r="29" spans="2:23">
      <c r="E29" s="788"/>
      <c r="F29" s="788"/>
      <c r="G29" s="788"/>
    </row>
    <row r="34" spans="3:11">
      <c r="I34" s="679"/>
    </row>
    <row r="35" spans="3:11">
      <c r="C35" s="789"/>
      <c r="D35" s="789"/>
      <c r="I35" s="789"/>
      <c r="J35" s="789"/>
    </row>
    <row r="36" spans="3:11">
      <c r="C36" s="771"/>
      <c r="D36" s="771"/>
      <c r="E36" s="771"/>
      <c r="I36" s="771"/>
      <c r="J36" s="771"/>
      <c r="K36" s="771"/>
    </row>
    <row r="37" spans="3:11">
      <c r="C37" s="771"/>
      <c r="D37" s="771"/>
      <c r="E37" s="771"/>
      <c r="I37" s="771"/>
      <c r="J37" s="771"/>
      <c r="K37" s="771"/>
    </row>
    <row r="38" spans="3:11">
      <c r="C38" s="771"/>
      <c r="D38" s="771"/>
      <c r="E38" s="771"/>
      <c r="I38" s="771"/>
      <c r="J38" s="771"/>
      <c r="K38" s="771"/>
    </row>
    <row r="39" spans="3:11">
      <c r="C39" s="771"/>
      <c r="D39" s="771"/>
      <c r="E39" s="771"/>
      <c r="I39" s="771"/>
      <c r="J39" s="771"/>
      <c r="K39" s="771"/>
    </row>
    <row r="40" spans="3:11">
      <c r="C40" s="771"/>
      <c r="D40" s="771"/>
      <c r="E40" s="771"/>
      <c r="I40" s="771"/>
      <c r="J40" s="771"/>
      <c r="K40" s="771"/>
    </row>
    <row r="41" spans="3:11">
      <c r="C41" s="771"/>
      <c r="D41" s="771"/>
      <c r="E41" s="771"/>
      <c r="I41" s="771"/>
      <c r="J41" s="771"/>
      <c r="K41" s="771"/>
    </row>
    <row r="42" spans="3:11">
      <c r="C42" s="771"/>
      <c r="D42" s="771"/>
      <c r="E42" s="772"/>
      <c r="I42" s="771"/>
      <c r="J42" s="771"/>
      <c r="K42" s="771"/>
    </row>
    <row r="43" spans="3:11">
      <c r="C43" s="771"/>
      <c r="D43" s="771"/>
      <c r="E43" s="771"/>
      <c r="I43" s="771"/>
      <c r="J43" s="771"/>
      <c r="K43" s="771"/>
    </row>
    <row r="44" spans="3:11">
      <c r="C44" s="771"/>
      <c r="D44" s="771"/>
      <c r="E44" s="771"/>
      <c r="I44" s="771"/>
      <c r="J44" s="771"/>
      <c r="K44" s="771"/>
    </row>
    <row r="51" spans="2:23">
      <c r="B51" s="766" t="s">
        <v>1124</v>
      </c>
      <c r="C51" s="766"/>
      <c r="D51" s="766"/>
      <c r="E51" s="766"/>
      <c r="F51" s="766"/>
      <c r="G51" s="766"/>
      <c r="H51" s="766" t="s">
        <v>1125</v>
      </c>
      <c r="I51" s="766"/>
      <c r="J51" s="766"/>
      <c r="K51" s="766"/>
      <c r="L51" s="766"/>
      <c r="M51" s="766"/>
      <c r="N51" s="766" t="s">
        <v>1126</v>
      </c>
      <c r="O51" s="766"/>
      <c r="P51" s="766"/>
      <c r="Q51" s="766"/>
      <c r="R51" s="766"/>
      <c r="S51" s="766"/>
      <c r="T51" s="766" t="s">
        <v>1123</v>
      </c>
    </row>
    <row r="54" spans="2:23" ht="17.25" thickBot="1"/>
    <row r="55" spans="2:23">
      <c r="B55" s="767"/>
      <c r="C55" s="768"/>
      <c r="D55" s="768" t="s">
        <v>1079</v>
      </c>
      <c r="E55" s="769"/>
      <c r="F55" s="766"/>
      <c r="G55" s="766"/>
      <c r="H55" s="767"/>
      <c r="I55" s="768"/>
      <c r="J55" s="768" t="s">
        <v>1079</v>
      </c>
      <c r="K55" s="769"/>
      <c r="L55" s="766"/>
      <c r="M55" s="766"/>
      <c r="N55" s="767"/>
      <c r="O55" s="768"/>
      <c r="P55" s="768" t="s">
        <v>1079</v>
      </c>
      <c r="Q55" s="769"/>
      <c r="T55" s="767"/>
      <c r="U55" s="768"/>
      <c r="V55" s="768" t="s">
        <v>1079</v>
      </c>
      <c r="W55" s="769"/>
    </row>
    <row r="56" spans="2:23">
      <c r="B56" s="770" t="s">
        <v>1108</v>
      </c>
      <c r="C56" s="771">
        <v>1.6444242901696546</v>
      </c>
      <c r="D56" s="771">
        <v>1.6966408811095581</v>
      </c>
      <c r="E56" s="773">
        <v>1.7488574720494616</v>
      </c>
      <c r="F56" s="772"/>
      <c r="G56" s="772"/>
      <c r="H56" s="770" t="s">
        <v>1108</v>
      </c>
      <c r="I56" s="771">
        <v>1.1883520262859588</v>
      </c>
      <c r="J56" s="771">
        <v>1.2451302711850425</v>
      </c>
      <c r="K56" s="654">
        <v>1.3019085160841259</v>
      </c>
      <c r="L56" s="771"/>
      <c r="M56" s="771"/>
      <c r="N56" s="770" t="s">
        <v>1108</v>
      </c>
      <c r="O56" s="771">
        <v>0.8951956327939522</v>
      </c>
      <c r="P56" s="654">
        <v>0.95565229304365595</v>
      </c>
      <c r="Q56" s="654">
        <v>1.0161089532933598</v>
      </c>
      <c r="T56" s="770" t="s">
        <v>1108</v>
      </c>
      <c r="U56" s="771">
        <v>0.73124126708294013</v>
      </c>
      <c r="V56" s="771">
        <v>0.79793429616765987</v>
      </c>
      <c r="W56" s="654">
        <v>0.86462732525237962</v>
      </c>
    </row>
    <row r="57" spans="2:23">
      <c r="B57" s="770" t="s">
        <v>1081</v>
      </c>
      <c r="C57" s="771">
        <v>1.4205018477845048</v>
      </c>
      <c r="D57" s="771">
        <v>1.6966408811095581</v>
      </c>
      <c r="E57" s="773">
        <v>1.9727799144346114</v>
      </c>
      <c r="F57" s="772"/>
      <c r="G57" s="772"/>
      <c r="H57" s="770" t="s">
        <v>1081</v>
      </c>
      <c r="I57" s="654">
        <v>1.0159840163896579</v>
      </c>
      <c r="J57" s="771">
        <v>1.2451302711850425</v>
      </c>
      <c r="K57" s="654">
        <v>1.4742765259804276</v>
      </c>
      <c r="L57" s="771"/>
      <c r="M57" s="771"/>
      <c r="N57" s="770" t="s">
        <v>1081</v>
      </c>
      <c r="O57" s="654">
        <v>0.76229824998019724</v>
      </c>
      <c r="P57" s="654">
        <v>0.95565229304365595</v>
      </c>
      <c r="Q57" s="654">
        <v>1.149006336107115</v>
      </c>
      <c r="T57" s="770" t="s">
        <v>1081</v>
      </c>
      <c r="U57" s="654">
        <v>0.61877976401721324</v>
      </c>
      <c r="V57" s="771">
        <v>0.79793429616765987</v>
      </c>
      <c r="W57" s="654">
        <v>0.97708882831810651</v>
      </c>
    </row>
    <row r="58" spans="2:23">
      <c r="B58" s="770" t="s">
        <v>1080</v>
      </c>
      <c r="C58" s="771">
        <v>1.6850643576252013</v>
      </c>
      <c r="D58" s="771">
        <v>1.6966408811095581</v>
      </c>
      <c r="E58" s="773">
        <v>1.7082174045939145</v>
      </c>
      <c r="F58" s="772"/>
      <c r="G58" s="772"/>
      <c r="H58" s="770" t="s">
        <v>1080</v>
      </c>
      <c r="I58" s="654">
        <v>1.2360598123017146</v>
      </c>
      <c r="J58" s="771">
        <v>1.2451302711850425</v>
      </c>
      <c r="K58" s="654">
        <v>1.2542007300683706</v>
      </c>
      <c r="L58" s="771"/>
      <c r="M58" s="771"/>
      <c r="N58" s="770" t="s">
        <v>1080</v>
      </c>
      <c r="O58" s="654">
        <v>0.95233186213254817</v>
      </c>
      <c r="P58" s="654">
        <v>0.95565229304365595</v>
      </c>
      <c r="Q58" s="654">
        <v>0.95897272395476385</v>
      </c>
      <c r="T58" s="770" t="s">
        <v>1080</v>
      </c>
      <c r="U58" s="654">
        <v>0.79043292786764474</v>
      </c>
      <c r="V58" s="771">
        <v>0.79793429616765987</v>
      </c>
      <c r="W58" s="654">
        <v>0.80543566446767501</v>
      </c>
    </row>
    <row r="59" spans="2:23">
      <c r="B59" s="770" t="s">
        <v>1109</v>
      </c>
      <c r="C59" s="771">
        <v>1.6966408811095581</v>
      </c>
      <c r="D59" s="771">
        <v>1.6966408811095581</v>
      </c>
      <c r="E59" s="771">
        <v>1.6966408811095581</v>
      </c>
      <c r="F59" s="772"/>
      <c r="G59" s="772"/>
      <c r="H59" s="770" t="s">
        <v>1109</v>
      </c>
      <c r="I59" s="771">
        <v>1.2451302711850425</v>
      </c>
      <c r="J59" s="771">
        <v>1.2451302711850425</v>
      </c>
      <c r="K59" s="771">
        <v>1.2451302711850425</v>
      </c>
      <c r="L59" s="771"/>
      <c r="M59" s="771"/>
      <c r="N59" s="770" t="s">
        <v>1109</v>
      </c>
      <c r="O59" s="654">
        <v>0.95565229304365595</v>
      </c>
      <c r="P59" s="654">
        <v>0.95565229304365595</v>
      </c>
      <c r="Q59" s="654">
        <v>0.95565229304365595</v>
      </c>
      <c r="T59" s="770" t="s">
        <v>1109</v>
      </c>
      <c r="U59" s="771">
        <v>0.79793429616765987</v>
      </c>
      <c r="V59" s="771">
        <v>0.79793429616765987</v>
      </c>
      <c r="W59" s="771">
        <v>0.79793429616765987</v>
      </c>
    </row>
    <row r="60" spans="2:23">
      <c r="B60" s="770" t="s">
        <v>1255</v>
      </c>
      <c r="C60" s="771">
        <v>1.8064243350244344</v>
      </c>
      <c r="D60" s="771">
        <v>1.6966408811095581</v>
      </c>
      <c r="E60" s="773">
        <v>1.5868574271946814</v>
      </c>
      <c r="F60" s="772"/>
      <c r="G60" s="772"/>
      <c r="H60" s="770" t="s">
        <v>1255</v>
      </c>
      <c r="I60" s="654">
        <v>1.3723596482347515</v>
      </c>
      <c r="J60" s="771">
        <v>1.2451302711850425</v>
      </c>
      <c r="K60" s="654">
        <v>1.1179008941353332</v>
      </c>
      <c r="L60" s="771"/>
      <c r="M60" s="771"/>
      <c r="N60" s="770" t="s">
        <v>1255</v>
      </c>
      <c r="O60" s="654">
        <v>1.0949750883619569</v>
      </c>
      <c r="P60" s="654">
        <v>0.95565229304365595</v>
      </c>
      <c r="Q60" s="654">
        <v>0.81632949772535524</v>
      </c>
      <c r="T60" s="770" t="s">
        <v>1255</v>
      </c>
      <c r="U60" s="654">
        <v>0.95625118748465643</v>
      </c>
      <c r="V60" s="771">
        <v>0.79793429616765987</v>
      </c>
      <c r="W60" s="654">
        <v>0.63961740485066332</v>
      </c>
    </row>
    <row r="61" spans="2:23">
      <c r="B61" s="770" t="s">
        <v>1111</v>
      </c>
      <c r="C61" s="771">
        <v>1.7083705382186711</v>
      </c>
      <c r="D61" s="771">
        <v>1.6966408811095581</v>
      </c>
      <c r="E61" s="773">
        <v>1.6849112240004449</v>
      </c>
      <c r="F61" s="772"/>
      <c r="G61" s="772"/>
      <c r="H61" s="770" t="s">
        <v>1111</v>
      </c>
      <c r="I61" s="654">
        <v>1.2628967262975095</v>
      </c>
      <c r="J61" s="771">
        <v>1.2451302711850425</v>
      </c>
      <c r="K61" s="654">
        <v>1.2273638160725755</v>
      </c>
      <c r="L61" s="771"/>
      <c r="M61" s="771"/>
      <c r="N61" s="770" t="s">
        <v>1111</v>
      </c>
      <c r="O61" s="654">
        <v>0.97978775170300392</v>
      </c>
      <c r="P61" s="654">
        <v>0.95565229304365595</v>
      </c>
      <c r="Q61" s="654">
        <v>0.9315168343843081</v>
      </c>
      <c r="T61" s="770" t="s">
        <v>1111</v>
      </c>
      <c r="U61" s="654">
        <v>0.83145292513809965</v>
      </c>
      <c r="V61" s="771">
        <v>0.79793429616765987</v>
      </c>
      <c r="W61" s="654">
        <v>0.76441566719722009</v>
      </c>
    </row>
    <row r="62" spans="2:23">
      <c r="B62" s="770" t="s">
        <v>1082</v>
      </c>
      <c r="C62" s="771">
        <v>1.7181341210420551</v>
      </c>
      <c r="D62" s="771">
        <v>1.6966408811095581</v>
      </c>
      <c r="E62" s="773">
        <v>1.6844702546440975</v>
      </c>
      <c r="F62" s="772"/>
      <c r="G62" s="772"/>
      <c r="H62" s="770" t="s">
        <v>1082</v>
      </c>
      <c r="I62" s="654">
        <v>1.263896128383915</v>
      </c>
      <c r="J62" s="771">
        <v>1.2451302711850425</v>
      </c>
      <c r="K62" s="654">
        <v>1.2345040352620755</v>
      </c>
      <c r="L62" s="771"/>
      <c r="M62" s="771"/>
      <c r="N62" s="770" t="s">
        <v>1082</v>
      </c>
      <c r="O62" s="654">
        <v>0.97343469251912196</v>
      </c>
      <c r="P62" s="654">
        <v>0.95565229304365595</v>
      </c>
      <c r="Q62" s="654">
        <v>0.94558294368752327</v>
      </c>
      <c r="T62" s="770" t="s">
        <v>1082</v>
      </c>
      <c r="U62" s="654">
        <v>0.81563407617318229</v>
      </c>
      <c r="V62" s="771">
        <v>0.79793429616765987</v>
      </c>
      <c r="W62" s="654">
        <v>0.78791173039141638</v>
      </c>
    </row>
    <row r="63" spans="2:23">
      <c r="B63" s="770" t="s">
        <v>1083</v>
      </c>
      <c r="C63" s="771">
        <v>1.6510641753528377</v>
      </c>
      <c r="D63" s="771">
        <v>1.6966408811095581</v>
      </c>
      <c r="E63" s="773">
        <v>1.7446161563468197</v>
      </c>
      <c r="F63" s="772"/>
      <c r="G63" s="772"/>
      <c r="H63" s="770" t="s">
        <v>1083</v>
      </c>
      <c r="I63" s="654">
        <v>1.2053370173753886</v>
      </c>
      <c r="J63" s="771">
        <v>1.2451302711850425</v>
      </c>
      <c r="K63" s="654">
        <v>1.2870177282183504</v>
      </c>
      <c r="L63" s="771"/>
      <c r="M63" s="771"/>
      <c r="N63" s="770" t="s">
        <v>1083</v>
      </c>
      <c r="O63" s="654">
        <v>0.91794447462785833</v>
      </c>
      <c r="P63" s="654">
        <v>0.95565229304365595</v>
      </c>
      <c r="Q63" s="654">
        <v>0.99534456428306706</v>
      </c>
      <c r="T63" s="770" t="s">
        <v>1083</v>
      </c>
      <c r="U63" s="654">
        <v>0.76040167345447518</v>
      </c>
      <c r="V63" s="771">
        <v>0.79793429616765987</v>
      </c>
      <c r="W63" s="654">
        <v>0.83744215166412328</v>
      </c>
    </row>
    <row r="64" spans="2:23">
      <c r="B64" s="770"/>
      <c r="C64" s="771"/>
      <c r="D64" s="771"/>
      <c r="E64" s="773"/>
      <c r="F64" s="772"/>
      <c r="G64" s="772"/>
      <c r="H64" s="770"/>
      <c r="I64" s="771"/>
      <c r="J64" s="772"/>
      <c r="K64" s="773"/>
      <c r="L64" s="771"/>
      <c r="M64" s="771"/>
      <c r="N64" s="770"/>
      <c r="O64" s="771"/>
      <c r="P64" s="772"/>
      <c r="Q64" s="773"/>
      <c r="T64" s="770"/>
      <c r="U64" s="771"/>
      <c r="V64" s="772"/>
      <c r="W64" s="773"/>
    </row>
    <row r="65" spans="1:23">
      <c r="A65"/>
      <c r="B65" s="770"/>
      <c r="C65" s="771"/>
      <c r="D65" s="771"/>
      <c r="E65" s="773"/>
      <c r="F65" s="772"/>
      <c r="G65" s="772"/>
      <c r="H65" s="770"/>
      <c r="I65" s="771"/>
      <c r="J65" s="771"/>
      <c r="K65" s="773"/>
      <c r="L65" s="771"/>
      <c r="M65" s="771"/>
      <c r="N65" s="770"/>
      <c r="O65" s="771"/>
      <c r="P65" s="771"/>
      <c r="Q65" s="773"/>
      <c r="T65" s="770"/>
      <c r="U65" s="771"/>
      <c r="V65" s="771"/>
      <c r="W65" s="773"/>
    </row>
    <row r="66" spans="1:23">
      <c r="A66"/>
      <c r="B66" s="770"/>
      <c r="C66" s="771"/>
      <c r="D66" s="771"/>
      <c r="E66" s="773"/>
      <c r="F66" s="772"/>
      <c r="G66" s="772"/>
      <c r="H66" s="770"/>
      <c r="I66" s="771"/>
      <c r="J66" s="771"/>
      <c r="K66" s="773"/>
      <c r="L66" s="771"/>
      <c r="M66" s="771"/>
      <c r="N66" s="770"/>
      <c r="O66" s="771"/>
      <c r="P66" s="771"/>
      <c r="Q66" s="773"/>
      <c r="T66" s="770"/>
      <c r="U66" s="771"/>
      <c r="V66" s="771"/>
      <c r="W66" s="773"/>
    </row>
    <row r="67" spans="1:23">
      <c r="A67"/>
      <c r="B67" s="771"/>
      <c r="C67" s="771"/>
      <c r="D67" s="771"/>
      <c r="E67" s="773"/>
      <c r="F67" s="772"/>
      <c r="G67" s="772"/>
      <c r="H67" s="770"/>
      <c r="I67" s="771"/>
      <c r="J67" s="771"/>
      <c r="K67" s="773"/>
      <c r="L67" s="771"/>
      <c r="M67" s="771"/>
      <c r="N67" s="770"/>
      <c r="O67" s="771"/>
      <c r="P67" s="771"/>
      <c r="Q67" s="773"/>
      <c r="T67" s="770"/>
      <c r="U67" s="771"/>
      <c r="V67" s="771"/>
      <c r="W67" s="773"/>
    </row>
    <row r="68" spans="1:23">
      <c r="A68"/>
      <c r="B68" s="770"/>
      <c r="C68" s="771"/>
      <c r="D68" s="771"/>
      <c r="E68" s="773"/>
      <c r="F68" s="772"/>
      <c r="G68" s="772"/>
      <c r="H68" s="770"/>
      <c r="I68" s="771"/>
      <c r="J68" s="771"/>
      <c r="K68" s="773"/>
      <c r="L68" s="771"/>
      <c r="M68" s="771"/>
      <c r="N68" s="770"/>
      <c r="O68" s="771"/>
      <c r="P68" s="771"/>
      <c r="Q68" s="773"/>
      <c r="T68" s="770"/>
      <c r="U68" s="771"/>
      <c r="V68" s="771"/>
      <c r="W68" s="773"/>
    </row>
    <row r="69" spans="1:23">
      <c r="A69"/>
      <c r="B69" s="774"/>
      <c r="C69" s="775">
        <v>-0.2</v>
      </c>
      <c r="D69" s="775">
        <v>0.2</v>
      </c>
      <c r="E69" s="776"/>
      <c r="F69" s="777"/>
      <c r="G69" s="777"/>
      <c r="H69" s="774"/>
      <c r="I69" s="775">
        <v>-0.2</v>
      </c>
      <c r="J69" s="775">
        <v>0.2</v>
      </c>
      <c r="K69" s="776"/>
      <c r="L69" s="775"/>
      <c r="M69" s="775"/>
      <c r="N69" s="774"/>
      <c r="O69" s="775">
        <v>-0.2</v>
      </c>
      <c r="P69" s="775">
        <v>0.2</v>
      </c>
      <c r="Q69" s="778"/>
      <c r="T69" s="774"/>
      <c r="U69" s="775">
        <v>-0.2</v>
      </c>
      <c r="V69" s="775">
        <v>0.2</v>
      </c>
      <c r="W69" s="778"/>
    </row>
    <row r="70" spans="1:23">
      <c r="A70"/>
      <c r="B70" s="770" t="s">
        <v>1108</v>
      </c>
      <c r="C70" s="779">
        <f>(C56-D56)/D56</f>
        <v>-3.0776454535125449E-2</v>
      </c>
      <c r="D70" s="779">
        <f>(E56-D56)/D56</f>
        <v>3.0776454535125449E-2</v>
      </c>
      <c r="E70" s="780"/>
      <c r="F70" s="781"/>
      <c r="G70" s="781"/>
      <c r="H70" s="770" t="s">
        <v>1108</v>
      </c>
      <c r="I70" s="779">
        <f>(I56-J56)/J56</f>
        <v>-4.5600244579264343E-2</v>
      </c>
      <c r="J70" s="779">
        <f>(K56-J56)/J56</f>
        <v>4.5600244579264163E-2</v>
      </c>
      <c r="K70" s="780"/>
      <c r="L70" s="779"/>
      <c r="M70" s="779"/>
      <c r="N70" s="770" t="s">
        <v>1108</v>
      </c>
      <c r="O70" s="779">
        <f>(O56-P56)/P56</f>
        <v>-6.3262193466993522E-2</v>
      </c>
      <c r="P70" s="779">
        <f>(Q56-P56)/P56</f>
        <v>6.3262193466993646E-2</v>
      </c>
      <c r="Q70" s="773"/>
      <c r="T70" s="770" t="s">
        <v>1108</v>
      </c>
      <c r="U70" s="779">
        <f>(U56-V56)/V56</f>
        <v>-8.358210620227105E-2</v>
      </c>
      <c r="V70" s="779">
        <f>(W56-V56)/V56</f>
        <v>8.358210620227105E-2</v>
      </c>
      <c r="W70" s="773"/>
    </row>
    <row r="71" spans="1:23">
      <c r="A71"/>
      <c r="B71" s="770" t="s">
        <v>1081</v>
      </c>
      <c r="C71" s="779">
        <f>(C57-D57)/D57</f>
        <v>-0.16275632421662839</v>
      </c>
      <c r="D71" s="779">
        <f t="shared" ref="D71:D77" si="28">(E57-D57)/D57</f>
        <v>0.16275632421662839</v>
      </c>
      <c r="E71" s="780"/>
      <c r="F71" s="781"/>
      <c r="G71" s="781"/>
      <c r="H71" s="770" t="s">
        <v>1081</v>
      </c>
      <c r="I71" s="779">
        <f>(I57-J57)/J57</f>
        <v>-0.1840339602195171</v>
      </c>
      <c r="J71" s="779">
        <f t="shared" ref="J71:J76" si="29">(K57-J57)/J57</f>
        <v>0.18403396021951746</v>
      </c>
      <c r="K71" s="780"/>
      <c r="L71" s="779"/>
      <c r="M71" s="779"/>
      <c r="N71" s="770" t="s">
        <v>1081</v>
      </c>
      <c r="O71" s="779">
        <f>(O57-P57)/P57</f>
        <v>-0.20232677143236441</v>
      </c>
      <c r="P71" s="779">
        <f t="shared" ref="P71:P77" si="30">(Q57-P57)/P57</f>
        <v>0.20232677143236477</v>
      </c>
      <c r="Q71" s="773"/>
      <c r="T71" s="770" t="s">
        <v>1081</v>
      </c>
      <c r="U71" s="779">
        <f>(U57-V57)/V57</f>
        <v>-0.22452291248902922</v>
      </c>
      <c r="V71" s="779">
        <f t="shared" ref="V71:V77" si="31">(W57-V57)/V57</f>
        <v>0.22452291248902922</v>
      </c>
      <c r="W71" s="773"/>
    </row>
    <row r="72" spans="1:23">
      <c r="A72"/>
      <c r="B72" s="770" t="s">
        <v>1080</v>
      </c>
      <c r="C72" s="779">
        <f t="shared" ref="C72:C77" si="32">(C58-D58)/D58</f>
        <v>-6.8232020183234317E-3</v>
      </c>
      <c r="D72" s="779">
        <f t="shared" si="28"/>
        <v>6.8232020183231698E-3</v>
      </c>
      <c r="E72" s="780"/>
      <c r="F72" s="781"/>
      <c r="G72" s="781"/>
      <c r="H72" s="770" t="s">
        <v>1080</v>
      </c>
      <c r="I72" s="779">
        <f t="shared" ref="I72:I77" si="33">(I58-J58)/J58</f>
        <v>-7.2847469001738911E-3</v>
      </c>
      <c r="J72" s="779">
        <f t="shared" si="29"/>
        <v>7.2847469001740689E-3</v>
      </c>
      <c r="K72" s="780"/>
      <c r="L72" s="779"/>
      <c r="M72" s="779"/>
      <c r="N72" s="770" t="s">
        <v>1080</v>
      </c>
      <c r="O72" s="779">
        <f t="shared" ref="O72:O77" si="34">(O58-P58)/P58</f>
        <v>-3.4745178087027331E-3</v>
      </c>
      <c r="P72" s="779">
        <f t="shared" si="30"/>
        <v>3.4745178087028494E-3</v>
      </c>
      <c r="Q72" s="773"/>
      <c r="T72" s="770" t="s">
        <v>1080</v>
      </c>
      <c r="U72" s="779">
        <f t="shared" ref="U72:U77" si="35">(U58-V58)/V58</f>
        <v>-9.4009849382874055E-3</v>
      </c>
      <c r="V72" s="779">
        <f t="shared" si="31"/>
        <v>9.4009849382874055E-3</v>
      </c>
      <c r="W72" s="773"/>
    </row>
    <row r="73" spans="1:23">
      <c r="A73"/>
      <c r="B73" s="770" t="s">
        <v>1109</v>
      </c>
      <c r="C73" s="779">
        <f t="shared" si="32"/>
        <v>0</v>
      </c>
      <c r="D73" s="779">
        <f t="shared" si="28"/>
        <v>0</v>
      </c>
      <c r="E73" s="780"/>
      <c r="F73" s="781"/>
      <c r="G73" s="781"/>
      <c r="H73" s="770" t="s">
        <v>1109</v>
      </c>
      <c r="I73" s="779">
        <f t="shared" si="33"/>
        <v>0</v>
      </c>
      <c r="J73" s="779">
        <f t="shared" si="29"/>
        <v>0</v>
      </c>
      <c r="K73" s="780"/>
      <c r="L73" s="779"/>
      <c r="M73" s="779"/>
      <c r="N73" s="770" t="s">
        <v>1109</v>
      </c>
      <c r="O73" s="779">
        <f t="shared" si="34"/>
        <v>0</v>
      </c>
      <c r="P73" s="779">
        <f t="shared" si="30"/>
        <v>0</v>
      </c>
      <c r="Q73" s="773"/>
      <c r="T73" s="770" t="s">
        <v>1109</v>
      </c>
      <c r="U73" s="779">
        <f t="shared" si="35"/>
        <v>0</v>
      </c>
      <c r="V73" s="779">
        <f t="shared" si="31"/>
        <v>0</v>
      </c>
      <c r="W73" s="773"/>
    </row>
    <row r="74" spans="1:23">
      <c r="A74"/>
      <c r="B74" s="770" t="s">
        <v>1110</v>
      </c>
      <c r="C74" s="779">
        <f t="shared" si="32"/>
        <v>6.4706358980977083E-2</v>
      </c>
      <c r="D74" s="779">
        <f t="shared" si="28"/>
        <v>-6.4706358980977333E-2</v>
      </c>
      <c r="E74" s="780"/>
      <c r="F74" s="781"/>
      <c r="G74" s="781"/>
      <c r="H74" s="770" t="s">
        <v>1110</v>
      </c>
      <c r="I74" s="779">
        <f t="shared" si="33"/>
        <v>0.10218157890308099</v>
      </c>
      <c r="J74" s="779">
        <f t="shared" si="29"/>
        <v>-0.10218157890308116</v>
      </c>
      <c r="K74" s="780"/>
      <c r="L74" s="779"/>
      <c r="M74" s="779"/>
      <c r="N74" s="770" t="s">
        <v>1110</v>
      </c>
      <c r="O74" s="779">
        <f t="shared" si="34"/>
        <v>0.14578816619020701</v>
      </c>
      <c r="P74" s="779">
        <f t="shared" si="30"/>
        <v>-0.14578816619020679</v>
      </c>
      <c r="Q74" s="773"/>
      <c r="T74" s="770" t="s">
        <v>1110</v>
      </c>
      <c r="U74" s="779">
        <f t="shared" si="35"/>
        <v>0.19840843046522144</v>
      </c>
      <c r="V74" s="779">
        <f t="shared" si="31"/>
        <v>-0.19840843046522144</v>
      </c>
      <c r="W74" s="773"/>
    </row>
    <row r="75" spans="1:23">
      <c r="A75"/>
      <c r="B75" s="770" t="s">
        <v>1111</v>
      </c>
      <c r="C75" s="779">
        <f t="shared" si="32"/>
        <v>6.9134589645406374E-3</v>
      </c>
      <c r="D75" s="779">
        <f t="shared" si="28"/>
        <v>-6.9134589645407684E-3</v>
      </c>
      <c r="E75" s="780"/>
      <c r="F75" s="781"/>
      <c r="G75" s="781"/>
      <c r="H75" s="770" t="s">
        <v>1111</v>
      </c>
      <c r="I75" s="779">
        <f t="shared" si="33"/>
        <v>1.426875205239201E-2</v>
      </c>
      <c r="J75" s="779">
        <f t="shared" si="29"/>
        <v>-1.426875205239201E-2</v>
      </c>
      <c r="K75" s="780"/>
      <c r="L75" s="779"/>
      <c r="M75" s="779"/>
      <c r="N75" s="770" t="s">
        <v>1111</v>
      </c>
      <c r="O75" s="779">
        <f t="shared" si="34"/>
        <v>2.5255481345081029E-2</v>
      </c>
      <c r="P75" s="779">
        <f t="shared" si="30"/>
        <v>-2.5255481345080915E-2</v>
      </c>
      <c r="Q75" s="773"/>
      <c r="T75" s="770" t="s">
        <v>1111</v>
      </c>
      <c r="U75" s="779">
        <f t="shared" si="35"/>
        <v>4.2006753101632481E-2</v>
      </c>
      <c r="V75" s="779">
        <f t="shared" si="31"/>
        <v>-4.2006753101632481E-2</v>
      </c>
      <c r="W75" s="773"/>
    </row>
    <row r="76" spans="1:23">
      <c r="A76"/>
      <c r="B76" s="770" t="s">
        <v>1082</v>
      </c>
      <c r="C76" s="779">
        <f t="shared" si="32"/>
        <v>1.2668113901888864E-2</v>
      </c>
      <c r="D76" s="779">
        <f t="shared" si="28"/>
        <v>-7.1733662679997227E-3</v>
      </c>
      <c r="E76" s="780"/>
      <c r="F76" s="781"/>
      <c r="G76" s="781"/>
      <c r="H76" s="770" t="s">
        <v>1082</v>
      </c>
      <c r="I76" s="779">
        <f t="shared" si="33"/>
        <v>1.5071400666383463E-2</v>
      </c>
      <c r="J76" s="779">
        <f t="shared" si="29"/>
        <v>-8.5342362714011695E-3</v>
      </c>
      <c r="K76" s="780"/>
      <c r="L76" s="779"/>
      <c r="M76" s="779"/>
      <c r="N76" s="770" t="s">
        <v>1082</v>
      </c>
      <c r="O76" s="779">
        <f t="shared" si="34"/>
        <v>1.8607604046897496E-2</v>
      </c>
      <c r="P76" s="779">
        <f t="shared" si="30"/>
        <v>-1.0536624491385694E-2</v>
      </c>
      <c r="Q76" s="773"/>
      <c r="T76" s="770" t="s">
        <v>1082</v>
      </c>
      <c r="U76" s="779">
        <f t="shared" si="35"/>
        <v>2.2182001814599759E-2</v>
      </c>
      <c r="V76" s="779">
        <f t="shared" si="31"/>
        <v>-1.2560640424130336E-2</v>
      </c>
      <c r="W76" s="773"/>
    </row>
    <row r="77" spans="1:23">
      <c r="A77"/>
      <c r="B77" s="770" t="s">
        <v>1083</v>
      </c>
      <c r="C77" s="779">
        <f t="shared" si="32"/>
        <v>-2.6862906737762031E-2</v>
      </c>
      <c r="D77" s="779">
        <f t="shared" si="28"/>
        <v>2.8276623398280354E-2</v>
      </c>
      <c r="E77" s="780"/>
      <c r="F77" s="781"/>
      <c r="G77" s="781"/>
      <c r="H77" s="770" t="s">
        <v>1083</v>
      </c>
      <c r="I77" s="779">
        <f t="shared" si="33"/>
        <v>-3.1959108802150499E-2</v>
      </c>
      <c r="J77" s="779">
        <f>(K63-J63)/J63</f>
        <v>3.364102375684902E-2</v>
      </c>
      <c r="K77" s="780"/>
      <c r="L77" s="779"/>
      <c r="M77" s="779"/>
      <c r="N77" s="770" t="s">
        <v>1083</v>
      </c>
      <c r="O77" s="779">
        <f t="shared" si="34"/>
        <v>-3.9457675862108833E-2</v>
      </c>
      <c r="P77" s="779">
        <f t="shared" si="30"/>
        <v>4.1534218594291475E-2</v>
      </c>
      <c r="Q77" s="773"/>
      <c r="T77" s="770" t="s">
        <v>1083</v>
      </c>
      <c r="U77" s="779">
        <f t="shared" si="35"/>
        <v>-4.7037234636294459E-2</v>
      </c>
      <c r="V77" s="779">
        <f t="shared" si="31"/>
        <v>4.9512667504345645E-2</v>
      </c>
      <c r="W77" s="773"/>
    </row>
    <row r="78" spans="1:23" ht="17.25" thickBot="1">
      <c r="A78"/>
      <c r="B78" s="782"/>
      <c r="C78" s="783"/>
      <c r="D78" s="783"/>
      <c r="E78" s="784"/>
      <c r="F78" s="781"/>
      <c r="G78" s="781"/>
      <c r="H78" s="785"/>
      <c r="I78" s="783"/>
      <c r="J78" s="783"/>
      <c r="K78" s="784"/>
      <c r="L78" s="779"/>
      <c r="M78" s="779"/>
      <c r="N78" s="785"/>
      <c r="O78" s="783"/>
      <c r="P78" s="783"/>
      <c r="Q78" s="786"/>
      <c r="T78" s="785"/>
      <c r="U78" s="783"/>
      <c r="V78" s="783"/>
      <c r="W78" s="786"/>
    </row>
    <row r="79" spans="1:23">
      <c r="A79"/>
      <c r="B79"/>
      <c r="C79"/>
      <c r="D79"/>
      <c r="E79"/>
      <c r="F79"/>
      <c r="G79"/>
      <c r="H79"/>
    </row>
    <row r="80" spans="1:23">
      <c r="A80"/>
      <c r="B80"/>
      <c r="C80"/>
      <c r="D80"/>
      <c r="E80"/>
      <c r="F80"/>
      <c r="G80"/>
      <c r="H80"/>
    </row>
    <row r="81" spans="1:22">
      <c r="A81"/>
      <c r="B81"/>
      <c r="C81"/>
      <c r="D81"/>
      <c r="E81"/>
      <c r="F81"/>
      <c r="G81"/>
      <c r="H81"/>
    </row>
    <row r="82" spans="1:22">
      <c r="A82"/>
      <c r="B82"/>
      <c r="C82"/>
      <c r="D82"/>
      <c r="E82"/>
      <c r="F82"/>
      <c r="G82"/>
      <c r="H82"/>
    </row>
    <row r="83" spans="1:22">
      <c r="A83"/>
      <c r="B83"/>
      <c r="C83"/>
      <c r="D83" s="141">
        <f>D85*0.7</f>
        <v>1.1876486167766906</v>
      </c>
      <c r="E83"/>
      <c r="F83"/>
      <c r="G83"/>
      <c r="H83"/>
      <c r="J83" s="141">
        <f>J85*0.7</f>
        <v>0.87159118982952966</v>
      </c>
      <c r="P83" s="141">
        <f>P85*0.7</f>
        <v>0.6689566051305591</v>
      </c>
      <c r="V83" s="141">
        <f>V85*0.7</f>
        <v>0.55855400731736182</v>
      </c>
    </row>
    <row r="84" spans="1:22">
      <c r="A84"/>
      <c r="B84"/>
      <c r="C84"/>
      <c r="D84" s="141">
        <f>D85*0.85</f>
        <v>1.4421447489431243</v>
      </c>
      <c r="E84"/>
      <c r="F84"/>
      <c r="G84"/>
      <c r="H84"/>
      <c r="J84" s="141">
        <f>J85*0.85</f>
        <v>1.0583607305072862</v>
      </c>
      <c r="P84" s="141">
        <f>P85*0.85</f>
        <v>0.81230444908710753</v>
      </c>
      <c r="V84" s="141">
        <f>V85*0.85</f>
        <v>0.67824415174251085</v>
      </c>
    </row>
    <row r="85" spans="1:22">
      <c r="A85"/>
      <c r="B85"/>
      <c r="C85"/>
      <c r="D85" s="771">
        <v>1.6966408811095581</v>
      </c>
      <c r="E85"/>
      <c r="F85"/>
      <c r="G85"/>
      <c r="H85"/>
      <c r="J85" s="771">
        <v>1.2451302711850425</v>
      </c>
      <c r="P85" s="654">
        <v>0.95565229304365595</v>
      </c>
      <c r="V85" s="771">
        <v>0.79793429616765987</v>
      </c>
    </row>
    <row r="86" spans="1:22">
      <c r="A86"/>
      <c r="B86"/>
      <c r="C86"/>
      <c r="D86" s="924">
        <f>D85*1.15</f>
        <v>1.9511370132759918</v>
      </c>
      <c r="E86"/>
      <c r="F86"/>
      <c r="G86"/>
      <c r="H86"/>
      <c r="J86" s="924">
        <f>J85*1.15</f>
        <v>1.4318998118627988</v>
      </c>
      <c r="P86" s="924">
        <f>P85*1.15</f>
        <v>1.0990001370002043</v>
      </c>
      <c r="V86" s="924">
        <f>V85*1.15</f>
        <v>0.91762444059280879</v>
      </c>
    </row>
    <row r="87" spans="1:22">
      <c r="A87"/>
      <c r="B87"/>
      <c r="C87"/>
      <c r="D87" s="141">
        <f>D85*1.3</f>
        <v>2.2056331454424258</v>
      </c>
      <c r="E87"/>
      <c r="F87"/>
      <c r="G87"/>
      <c r="H87"/>
      <c r="J87" s="141">
        <f>J85*1.3</f>
        <v>1.6186693525405553</v>
      </c>
      <c r="P87" s="141">
        <f>P85*1.3</f>
        <v>1.2423479809567528</v>
      </c>
      <c r="V87" s="141">
        <f>V85*1.3</f>
        <v>1.0373145850179579</v>
      </c>
    </row>
    <row r="88" spans="1:22">
      <c r="A88"/>
      <c r="B88"/>
      <c r="C88"/>
      <c r="D88"/>
      <c r="E88"/>
      <c r="F88"/>
      <c r="G88"/>
      <c r="H88"/>
    </row>
    <row r="89" spans="1:22">
      <c r="A89"/>
      <c r="B89"/>
      <c r="C89"/>
      <c r="D89"/>
      <c r="E89"/>
      <c r="F89"/>
      <c r="G89"/>
      <c r="H89"/>
    </row>
    <row r="90" spans="1:22">
      <c r="A90"/>
      <c r="B90"/>
      <c r="C90"/>
      <c r="D90"/>
      <c r="E90"/>
      <c r="F90"/>
      <c r="G90"/>
      <c r="H90"/>
    </row>
    <row r="91" spans="1:22">
      <c r="A91"/>
      <c r="B91"/>
      <c r="C91"/>
      <c r="D91"/>
      <c r="E91"/>
      <c r="F91"/>
      <c r="G91"/>
      <c r="H91"/>
    </row>
    <row r="92" spans="1:22">
      <c r="A92"/>
      <c r="B92"/>
      <c r="C92"/>
      <c r="D92"/>
      <c r="E92"/>
      <c r="F92"/>
      <c r="G92"/>
      <c r="H92"/>
    </row>
    <row r="93" spans="1:22">
      <c r="A93"/>
      <c r="B93"/>
      <c r="C93"/>
      <c r="D93"/>
      <c r="E93"/>
      <c r="F93"/>
      <c r="G93"/>
      <c r="H93"/>
    </row>
    <row r="94" spans="1:22">
      <c r="A94"/>
      <c r="B94"/>
      <c r="C94"/>
      <c r="D94"/>
      <c r="E94"/>
      <c r="F94"/>
      <c r="G94"/>
      <c r="H94"/>
    </row>
    <row r="95" spans="1:22">
      <c r="A95"/>
      <c r="B95"/>
      <c r="C95"/>
      <c r="D95"/>
      <c r="E95"/>
      <c r="F95"/>
      <c r="G95"/>
      <c r="H95"/>
    </row>
    <row r="96" spans="1:22">
      <c r="A96"/>
      <c r="B96"/>
      <c r="C96"/>
      <c r="D96"/>
      <c r="E96"/>
      <c r="F96"/>
      <c r="G96"/>
      <c r="H96"/>
    </row>
    <row r="97" spans="1:8">
      <c r="A97"/>
      <c r="B97"/>
      <c r="C97"/>
      <c r="D97"/>
      <c r="E97"/>
      <c r="F97"/>
      <c r="G97"/>
      <c r="H97"/>
    </row>
    <row r="98" spans="1:8">
      <c r="A98"/>
      <c r="B98"/>
      <c r="C98"/>
      <c r="D98"/>
      <c r="E98"/>
      <c r="F98"/>
      <c r="G98"/>
      <c r="H98"/>
    </row>
    <row r="99" spans="1:8">
      <c r="A99"/>
      <c r="B99"/>
      <c r="C99"/>
      <c r="D99"/>
      <c r="E99"/>
      <c r="F99"/>
      <c r="G99"/>
      <c r="H99"/>
    </row>
    <row r="100" spans="1:8">
      <c r="A100"/>
      <c r="B100"/>
      <c r="C100"/>
      <c r="D100"/>
      <c r="E100"/>
      <c r="F100"/>
      <c r="G100"/>
      <c r="H100"/>
    </row>
    <row r="101" spans="1:8">
      <c r="A101"/>
      <c r="B101"/>
      <c r="C101"/>
      <c r="D101"/>
      <c r="E101"/>
      <c r="F101"/>
      <c r="G101"/>
      <c r="H101"/>
    </row>
  </sheetData>
  <phoneticPr fontId="8" type="noConversion"/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20ED-9E1B-4EFB-AC21-AAC524811DAF}">
  <dimension ref="B1:Q46"/>
  <sheetViews>
    <sheetView zoomScale="55" zoomScaleNormal="55" workbookViewId="0">
      <selection activeCell="U57" sqref="U57"/>
    </sheetView>
  </sheetViews>
  <sheetFormatPr defaultRowHeight="16.5"/>
  <cols>
    <col min="2" max="2" width="25.875" bestFit="1" customWidth="1"/>
    <col min="6" max="6" width="8.75" customWidth="1"/>
    <col min="8" max="8" width="25.875" bestFit="1" customWidth="1"/>
    <col min="14" max="14" width="25.875" bestFit="1" customWidth="1"/>
  </cols>
  <sheetData>
    <row r="1" spans="2:17" ht="17.25" thickBot="1">
      <c r="B1" s="640"/>
      <c r="C1" s="640"/>
      <c r="D1" s="639"/>
      <c r="E1" s="639"/>
      <c r="F1" s="640"/>
    </row>
    <row r="2" spans="2:17">
      <c r="B2" s="648" t="s">
        <v>1060</v>
      </c>
      <c r="C2" s="667" t="s">
        <v>1034</v>
      </c>
      <c r="D2" s="667" t="s">
        <v>1053</v>
      </c>
      <c r="E2" s="667" t="s">
        <v>1033</v>
      </c>
      <c r="F2" s="668" t="s">
        <v>1054</v>
      </c>
      <c r="H2" s="664" t="s">
        <v>1061</v>
      </c>
      <c r="I2" s="667" t="s">
        <v>1034</v>
      </c>
      <c r="J2" s="667" t="s">
        <v>1053</v>
      </c>
      <c r="K2" s="667" t="s">
        <v>1033</v>
      </c>
      <c r="L2" s="668" t="s">
        <v>1054</v>
      </c>
      <c r="N2" s="635"/>
      <c r="O2" s="636" t="s">
        <v>1057</v>
      </c>
      <c r="P2" s="637" t="s">
        <v>751</v>
      </c>
      <c r="Q2" s="638" t="s">
        <v>1058</v>
      </c>
    </row>
    <row r="3" spans="2:17">
      <c r="B3" s="670"/>
      <c r="C3" s="676">
        <v>1.1398261102723638E-2</v>
      </c>
      <c r="D3" s="676">
        <v>0.72559845096446551</v>
      </c>
      <c r="E3" s="676">
        <v>0.63378365387857949</v>
      </c>
      <c r="F3" s="677">
        <v>1.7568790493526292</v>
      </c>
      <c r="H3" s="671"/>
      <c r="I3" s="676">
        <v>1.1398261102723638E-2</v>
      </c>
      <c r="J3" s="676">
        <v>0.72559845096446551</v>
      </c>
      <c r="K3" s="676">
        <v>0.63378365387857949</v>
      </c>
      <c r="L3" s="677">
        <v>1.7568790493526292</v>
      </c>
      <c r="N3" s="672"/>
      <c r="O3" s="673"/>
      <c r="P3" s="674"/>
      <c r="Q3" s="675"/>
    </row>
    <row r="4" spans="2:17">
      <c r="B4" s="641" t="s">
        <v>1059</v>
      </c>
      <c r="C4" s="649">
        <v>-9.1276694943348072E-2</v>
      </c>
      <c r="D4" s="649">
        <v>0.65479020104462538</v>
      </c>
      <c r="E4" s="649">
        <v>0.52282630550217213</v>
      </c>
      <c r="F4" s="650">
        <v>1.6903550120766337</v>
      </c>
      <c r="H4" s="641" t="s">
        <v>1059</v>
      </c>
      <c r="I4" s="649">
        <v>0.11407321714879563</v>
      </c>
      <c r="J4" s="649">
        <v>0.79640670088430554</v>
      </c>
      <c r="K4" s="649">
        <v>0.74474100225498674</v>
      </c>
      <c r="L4" s="650">
        <v>1.8234030866286246</v>
      </c>
      <c r="N4" s="641" t="s">
        <v>1059</v>
      </c>
      <c r="O4" s="642">
        <f>P4*0.8</f>
        <v>2.6160000000000001</v>
      </c>
      <c r="P4" s="642">
        <v>3.27</v>
      </c>
      <c r="Q4" s="643">
        <f>P4*1.2</f>
        <v>3.9239999999999999</v>
      </c>
    </row>
    <row r="5" spans="2:17">
      <c r="B5" s="641" t="s">
        <v>1067</v>
      </c>
      <c r="C5" s="649">
        <v>0.20951934295914248</v>
      </c>
      <c r="D5" s="649">
        <v>0.92371953282088437</v>
      </c>
      <c r="E5" s="649">
        <v>0.81314820022092371</v>
      </c>
      <c r="F5" s="650">
        <v>1.9362435956949733</v>
      </c>
      <c r="H5" s="641" t="s">
        <v>1067</v>
      </c>
      <c r="I5" s="649">
        <v>-0.18672282075369506</v>
      </c>
      <c r="J5" s="649">
        <v>0.52747736910804677</v>
      </c>
      <c r="K5" s="649">
        <v>0.45441910753623549</v>
      </c>
      <c r="L5" s="650">
        <v>1.5775145030102853</v>
      </c>
      <c r="N5" s="641" t="s">
        <v>1067</v>
      </c>
      <c r="O5" s="644">
        <f>P5*0.8</f>
        <v>3.16</v>
      </c>
      <c r="P5" s="644">
        <v>3.95</v>
      </c>
      <c r="Q5" s="645">
        <f>P5*1.2</f>
        <v>4.74</v>
      </c>
    </row>
    <row r="6" spans="2:17">
      <c r="B6" s="641" t="s">
        <v>1063</v>
      </c>
      <c r="C6" s="649">
        <v>-3.3692490953760215E-2</v>
      </c>
      <c r="D6" s="649">
        <v>0.72559845096446551</v>
      </c>
      <c r="E6" s="649">
        <v>0.53240549986423369</v>
      </c>
      <c r="F6" s="650">
        <v>1.7568790493526292</v>
      </c>
      <c r="H6" s="641" t="s">
        <v>1063</v>
      </c>
      <c r="I6" s="649">
        <v>5.6489013159207492E-2</v>
      </c>
      <c r="J6" s="649">
        <v>0.72559845096446551</v>
      </c>
      <c r="K6" s="649">
        <v>0.73516180789292573</v>
      </c>
      <c r="L6" s="650">
        <v>1.7568790493526292</v>
      </c>
      <c r="N6" s="641" t="s">
        <v>1063</v>
      </c>
      <c r="O6" s="644">
        <f>P6*0.8</f>
        <v>5.5200000000000006E-2</v>
      </c>
      <c r="P6" s="644">
        <v>6.9000000000000006E-2</v>
      </c>
      <c r="Q6" s="645">
        <f>P6*1.2</f>
        <v>8.2799999999999999E-2</v>
      </c>
    </row>
    <row r="7" spans="2:17">
      <c r="B7" s="641" t="s">
        <v>1064</v>
      </c>
      <c r="C7" s="649">
        <v>1.1398261102723638E-2</v>
      </c>
      <c r="D7" s="649">
        <v>0.47269002527893028</v>
      </c>
      <c r="E7" s="649">
        <v>0.63378365387857949</v>
      </c>
      <c r="F7" s="650">
        <v>1.3457684152158531</v>
      </c>
      <c r="H7" s="641" t="s">
        <v>1064</v>
      </c>
      <c r="I7" s="649">
        <v>1.1398261102723638E-2</v>
      </c>
      <c r="J7" s="649">
        <v>0.97850687665000013</v>
      </c>
      <c r="K7" s="649">
        <v>0.63378365387857949</v>
      </c>
      <c r="L7" s="650">
        <v>2.1679896834894046</v>
      </c>
      <c r="N7" s="641" t="s">
        <v>1064</v>
      </c>
      <c r="O7" s="644">
        <f>P7*0.8</f>
        <v>7.6800000000000007E-2</v>
      </c>
      <c r="P7" s="644">
        <v>9.6000000000000002E-2</v>
      </c>
      <c r="Q7" s="645">
        <f>P7*1.2</f>
        <v>0.1152</v>
      </c>
    </row>
    <row r="8" spans="2:17" ht="17.25" thickBot="1">
      <c r="B8" s="647" t="s">
        <v>727</v>
      </c>
      <c r="C8" s="651">
        <v>-2.1327409777489922E-2</v>
      </c>
      <c r="D8" s="651">
        <v>0.69503011707720863</v>
      </c>
      <c r="E8" s="651">
        <v>0.5939100800624395</v>
      </c>
      <c r="F8" s="652">
        <v>1.717220596910165</v>
      </c>
      <c r="H8" s="647" t="s">
        <v>727</v>
      </c>
      <c r="I8" s="651">
        <v>4.5846188870534869E-2</v>
      </c>
      <c r="J8" s="651">
        <v>0.75777550736721855</v>
      </c>
      <c r="K8" s="651">
        <v>0.67575565792673342</v>
      </c>
      <c r="L8" s="652">
        <v>1.7986246108148136</v>
      </c>
      <c r="N8" s="647" t="s">
        <v>727</v>
      </c>
      <c r="O8" s="665">
        <f>P8*0.8</f>
        <v>6.4000000000000001E-2</v>
      </c>
      <c r="P8" s="665">
        <v>0.08</v>
      </c>
      <c r="Q8" s="666">
        <f>P8*1.2</f>
        <v>9.6000000000000002E-2</v>
      </c>
    </row>
    <row r="9" spans="2:17">
      <c r="B9" s="640"/>
      <c r="C9" s="640"/>
      <c r="D9" s="646"/>
      <c r="E9" s="646"/>
      <c r="F9" s="640"/>
    </row>
    <row r="10" spans="2:17">
      <c r="B10" s="640"/>
      <c r="C10" s="640"/>
      <c r="D10" s="653"/>
      <c r="E10" s="653"/>
      <c r="F10" s="640"/>
    </row>
    <row r="12" spans="2:17" ht="17.25" thickBot="1">
      <c r="B12" s="655" t="str">
        <f>C2</f>
        <v>Case 4_FH</v>
      </c>
      <c r="C12" s="656" t="s">
        <v>1066</v>
      </c>
      <c r="D12" s="681">
        <f>C3</f>
        <v>1.1398261102723638E-2</v>
      </c>
      <c r="E12" s="654"/>
      <c r="F12" s="654"/>
    </row>
    <row r="13" spans="2:17">
      <c r="B13" s="657"/>
      <c r="C13" s="957" t="s">
        <v>872</v>
      </c>
      <c r="D13" s="957"/>
      <c r="E13" s="957" t="s">
        <v>1062</v>
      </c>
      <c r="F13" s="958"/>
    </row>
    <row r="14" spans="2:17">
      <c r="B14" s="641"/>
      <c r="C14" s="678" t="s">
        <v>1057</v>
      </c>
      <c r="D14" s="679" t="s">
        <v>1058</v>
      </c>
      <c r="E14" s="678" t="s">
        <v>1057</v>
      </c>
      <c r="F14" s="658" t="s">
        <v>1058</v>
      </c>
    </row>
    <row r="15" spans="2:17">
      <c r="B15" s="641" t="s">
        <v>1059</v>
      </c>
      <c r="C15" s="680">
        <f>C4</f>
        <v>-9.1276694943348072E-2</v>
      </c>
      <c r="D15" s="680">
        <f>I4</f>
        <v>0.11407321714879563</v>
      </c>
      <c r="E15" s="659">
        <f t="shared" ref="E15:F19" si="0">(C15-$D$12)/$D$12</f>
        <v>-9.0079491179174092</v>
      </c>
      <c r="F15" s="660">
        <f t="shared" si="0"/>
        <v>9.007949117917434</v>
      </c>
    </row>
    <row r="16" spans="2:17">
      <c r="B16" s="641" t="s">
        <v>1067</v>
      </c>
      <c r="C16" s="680">
        <f>C5</f>
        <v>0.20951934295914248</v>
      </c>
      <c r="D16" s="680">
        <f>I5</f>
        <v>-0.18672282075369506</v>
      </c>
      <c r="E16" s="659">
        <f t="shared" si="0"/>
        <v>17.381693582109417</v>
      </c>
      <c r="F16" s="660">
        <f t="shared" si="0"/>
        <v>-17.381693582109403</v>
      </c>
    </row>
    <row r="17" spans="2:6">
      <c r="B17" s="641" t="s">
        <v>1063</v>
      </c>
      <c r="C17" s="680">
        <f>C6</f>
        <v>-3.3692490953760215E-2</v>
      </c>
      <c r="D17" s="680">
        <f>I6</f>
        <v>5.6489013159207492E-2</v>
      </c>
      <c r="E17" s="659">
        <f t="shared" si="0"/>
        <v>-3.9559325453344218</v>
      </c>
      <c r="F17" s="660">
        <f t="shared" si="0"/>
        <v>3.9559325453344218</v>
      </c>
    </row>
    <row r="18" spans="2:6">
      <c r="B18" s="641" t="s">
        <v>1064</v>
      </c>
      <c r="C18" s="680">
        <f>C7</f>
        <v>1.1398261102723638E-2</v>
      </c>
      <c r="D18" s="680">
        <f>I7</f>
        <v>1.1398261102723638E-2</v>
      </c>
      <c r="E18" s="659">
        <f t="shared" si="0"/>
        <v>0</v>
      </c>
      <c r="F18" s="660">
        <f t="shared" si="0"/>
        <v>0</v>
      </c>
    </row>
    <row r="19" spans="2:6" ht="17.25" thickBot="1">
      <c r="B19" s="647" t="s">
        <v>727</v>
      </c>
      <c r="C19" s="661">
        <f>C8</f>
        <v>-2.1327409777489922E-2</v>
      </c>
      <c r="D19" s="661">
        <f>I8</f>
        <v>4.5846188870534869E-2</v>
      </c>
      <c r="E19" s="662">
        <f t="shared" si="0"/>
        <v>-2.8711108286854117</v>
      </c>
      <c r="F19" s="663">
        <f t="shared" si="0"/>
        <v>3.0222090420072787</v>
      </c>
    </row>
    <row r="20" spans="2:6">
      <c r="F20" s="649"/>
    </row>
    <row r="21" spans="2:6" ht="17.25" thickBot="1">
      <c r="B21" s="655" t="str">
        <f>D2</f>
        <v>Case 4_efurnace</v>
      </c>
      <c r="C21" s="656" t="s">
        <v>1066</v>
      </c>
      <c r="D21" s="681">
        <f>D3</f>
        <v>0.72559845096446551</v>
      </c>
      <c r="E21" s="654"/>
      <c r="F21" s="654"/>
    </row>
    <row r="22" spans="2:6">
      <c r="B22" s="657"/>
      <c r="C22" s="957" t="s">
        <v>872</v>
      </c>
      <c r="D22" s="957"/>
      <c r="E22" s="957" t="s">
        <v>1062</v>
      </c>
      <c r="F22" s="958"/>
    </row>
    <row r="23" spans="2:6">
      <c r="B23" s="641"/>
      <c r="C23" s="678" t="s">
        <v>1057</v>
      </c>
      <c r="D23" s="679" t="s">
        <v>1058</v>
      </c>
      <c r="E23" s="678" t="s">
        <v>1057</v>
      </c>
      <c r="F23" s="658" t="s">
        <v>1058</v>
      </c>
    </row>
    <row r="24" spans="2:6">
      <c r="B24" s="641" t="s">
        <v>1059</v>
      </c>
      <c r="C24" s="680">
        <f>D4</f>
        <v>0.65479020104462538</v>
      </c>
      <c r="D24" s="680">
        <f>J4</f>
        <v>0.79640670088430554</v>
      </c>
      <c r="E24" s="659">
        <f t="shared" ref="E24:F28" si="1">(C24-$D$21)/$D$21</f>
        <v>-9.758599928889293E-2</v>
      </c>
      <c r="F24" s="660">
        <f t="shared" si="1"/>
        <v>9.7585999288892764E-2</v>
      </c>
    </row>
    <row r="25" spans="2:6">
      <c r="B25" s="641" t="s">
        <v>1067</v>
      </c>
      <c r="C25" s="680">
        <f>D5</f>
        <v>0.92371953282088437</v>
      </c>
      <c r="D25" s="680">
        <f>J5</f>
        <v>0.52747736910804677</v>
      </c>
      <c r="E25" s="659">
        <f t="shared" si="1"/>
        <v>0.27304507278519724</v>
      </c>
      <c r="F25" s="660">
        <f t="shared" si="1"/>
        <v>-0.27304507278519707</v>
      </c>
    </row>
    <row r="26" spans="2:6">
      <c r="B26" s="641" t="s">
        <v>1063</v>
      </c>
      <c r="C26" s="680">
        <f>D6</f>
        <v>0.72559845096446551</v>
      </c>
      <c r="D26" s="680">
        <f>J6</f>
        <v>0.72559845096446551</v>
      </c>
      <c r="E26" s="659">
        <f t="shared" si="1"/>
        <v>0</v>
      </c>
      <c r="F26" s="660">
        <f t="shared" si="1"/>
        <v>0</v>
      </c>
    </row>
    <row r="27" spans="2:6">
      <c r="B27" s="641" t="s">
        <v>1064</v>
      </c>
      <c r="C27" s="680">
        <f>D7</f>
        <v>0.47269002527893028</v>
      </c>
      <c r="D27" s="680">
        <f>J7</f>
        <v>0.97850687665000013</v>
      </c>
      <c r="E27" s="659">
        <f t="shared" si="1"/>
        <v>-0.34855149614689684</v>
      </c>
      <c r="F27" s="660">
        <f t="shared" si="1"/>
        <v>0.34855149614689601</v>
      </c>
    </row>
    <row r="28" spans="2:6" ht="17.25" thickBot="1">
      <c r="B28" s="647" t="s">
        <v>727</v>
      </c>
      <c r="C28" s="661">
        <f>D8</f>
        <v>0.69503011707720863</v>
      </c>
      <c r="D28" s="661">
        <f>J8</f>
        <v>0.75777550736721855</v>
      </c>
      <c r="E28" s="662">
        <f t="shared" si="1"/>
        <v>-4.2128444247125182E-2</v>
      </c>
      <c r="F28" s="663">
        <f t="shared" si="1"/>
        <v>4.4345541752443506E-2</v>
      </c>
    </row>
    <row r="30" spans="2:6" ht="17.25" thickBot="1">
      <c r="B30" s="655" t="str">
        <f>E2</f>
        <v>Case 5_FH</v>
      </c>
      <c r="C30" s="656" t="s">
        <v>1066</v>
      </c>
      <c r="D30" s="681">
        <f>E3</f>
        <v>0.63378365387857949</v>
      </c>
      <c r="E30" s="654"/>
      <c r="F30" s="654"/>
    </row>
    <row r="31" spans="2:6">
      <c r="B31" s="657"/>
      <c r="C31" s="957" t="s">
        <v>872</v>
      </c>
      <c r="D31" s="957"/>
      <c r="E31" s="957" t="s">
        <v>1062</v>
      </c>
      <c r="F31" s="958"/>
    </row>
    <row r="32" spans="2:6">
      <c r="B32" s="641"/>
      <c r="C32" s="678" t="s">
        <v>1057</v>
      </c>
      <c r="D32" s="679" t="s">
        <v>1058</v>
      </c>
      <c r="E32" s="678" t="s">
        <v>1057</v>
      </c>
      <c r="F32" s="658" t="s">
        <v>1058</v>
      </c>
    </row>
    <row r="33" spans="2:6">
      <c r="B33" s="641" t="s">
        <v>1059</v>
      </c>
      <c r="C33" s="680">
        <f>E4</f>
        <v>0.52282630550217213</v>
      </c>
      <c r="D33" s="680">
        <f>K4</f>
        <v>0.74474100225498674</v>
      </c>
      <c r="E33" s="659">
        <f t="shared" ref="E33:F37" si="2">(C33-$D$30)/$D$30</f>
        <v>-0.17507133182968554</v>
      </c>
      <c r="F33" s="660">
        <f t="shared" si="2"/>
        <v>0.17507133182968537</v>
      </c>
    </row>
    <row r="34" spans="2:6">
      <c r="B34" s="641" t="s">
        <v>1067</v>
      </c>
      <c r="C34" s="680">
        <f>E5</f>
        <v>0.81314820022092371</v>
      </c>
      <c r="D34" s="680">
        <f>K5</f>
        <v>0.45441910753623549</v>
      </c>
      <c r="E34" s="659">
        <f t="shared" si="2"/>
        <v>0.28300595202271805</v>
      </c>
      <c r="F34" s="660">
        <f t="shared" si="2"/>
        <v>-0.28300595202271772</v>
      </c>
    </row>
    <row r="35" spans="2:6">
      <c r="B35" s="641" t="s">
        <v>1063</v>
      </c>
      <c r="C35" s="680">
        <f>E6</f>
        <v>0.53240549986423369</v>
      </c>
      <c r="D35" s="680">
        <f>K6</f>
        <v>0.73516180789292573</v>
      </c>
      <c r="E35" s="659">
        <f t="shared" si="2"/>
        <v>-0.15995703485556897</v>
      </c>
      <c r="F35" s="660">
        <f t="shared" si="2"/>
        <v>0.15995703485556967</v>
      </c>
    </row>
    <row r="36" spans="2:6">
      <c r="B36" s="641" t="s">
        <v>1064</v>
      </c>
      <c r="C36" s="680">
        <f>E7</f>
        <v>0.63378365387857949</v>
      </c>
      <c r="D36" s="680">
        <f>K7</f>
        <v>0.63378365387857949</v>
      </c>
      <c r="E36" s="659">
        <f t="shared" si="2"/>
        <v>0</v>
      </c>
      <c r="F36" s="660">
        <f t="shared" si="2"/>
        <v>0</v>
      </c>
    </row>
    <row r="37" spans="2:6" ht="17.25" thickBot="1">
      <c r="B37" s="647" t="s">
        <v>727</v>
      </c>
      <c r="C37" s="661">
        <f>E8</f>
        <v>0.5939100800624395</v>
      </c>
      <c r="D37" s="661">
        <f>K8</f>
        <v>0.67575565792673342</v>
      </c>
      <c r="E37" s="662">
        <f t="shared" si="2"/>
        <v>-6.2913540878065902E-2</v>
      </c>
      <c r="F37" s="663">
        <f t="shared" si="2"/>
        <v>6.6224497573102364E-2</v>
      </c>
    </row>
    <row r="39" spans="2:6" ht="17.25" thickBot="1">
      <c r="B39" s="655" t="str">
        <f>F2</f>
        <v>Case 5_efurnace</v>
      </c>
      <c r="C39" s="656" t="s">
        <v>1066</v>
      </c>
      <c r="D39" s="681">
        <f>F3</f>
        <v>1.7568790493526292</v>
      </c>
      <c r="E39" s="654"/>
      <c r="F39" s="654"/>
    </row>
    <row r="40" spans="2:6">
      <c r="B40" s="657"/>
      <c r="C40" s="957" t="s">
        <v>872</v>
      </c>
      <c r="D40" s="957"/>
      <c r="E40" s="957" t="s">
        <v>1062</v>
      </c>
      <c r="F40" s="958"/>
    </row>
    <row r="41" spans="2:6">
      <c r="B41" s="641"/>
      <c r="C41" s="678" t="s">
        <v>1057</v>
      </c>
      <c r="D41" s="679" t="s">
        <v>1058</v>
      </c>
      <c r="E41" s="678" t="s">
        <v>1057</v>
      </c>
      <c r="F41" s="658" t="s">
        <v>1058</v>
      </c>
    </row>
    <row r="42" spans="2:6">
      <c r="B42" s="641" t="s">
        <v>1059</v>
      </c>
      <c r="C42" s="680">
        <f>F4</f>
        <v>1.6903550120766337</v>
      </c>
      <c r="D42" s="680">
        <f>L4</f>
        <v>1.8234030866286246</v>
      </c>
      <c r="E42" s="659">
        <f t="shared" ref="E42:F46" si="3">(C42-$D$39)/$D$39</f>
        <v>-3.7864893033193181E-2</v>
      </c>
      <c r="F42" s="660">
        <f t="shared" si="3"/>
        <v>3.7864893033193181E-2</v>
      </c>
    </row>
    <row r="43" spans="2:6">
      <c r="B43" s="641" t="s">
        <v>1067</v>
      </c>
      <c r="C43" s="680">
        <f>F5</f>
        <v>1.9362435956949733</v>
      </c>
      <c r="D43" s="680">
        <f>L5</f>
        <v>1.5775145030102853</v>
      </c>
      <c r="E43" s="659">
        <f t="shared" si="3"/>
        <v>0.10209271173700657</v>
      </c>
      <c r="F43" s="660">
        <f t="shared" si="3"/>
        <v>-0.10209271173700644</v>
      </c>
    </row>
    <row r="44" spans="2:6">
      <c r="B44" s="641" t="s">
        <v>1063</v>
      </c>
      <c r="C44" s="680">
        <f>F6</f>
        <v>1.7568790493526292</v>
      </c>
      <c r="D44" s="680">
        <f>L6</f>
        <v>1.7568790493526292</v>
      </c>
      <c r="E44" s="659">
        <f t="shared" si="3"/>
        <v>0</v>
      </c>
      <c r="F44" s="660">
        <f t="shared" si="3"/>
        <v>0</v>
      </c>
    </row>
    <row r="45" spans="2:6">
      <c r="B45" s="641" t="s">
        <v>1064</v>
      </c>
      <c r="C45" s="680">
        <f>F7</f>
        <v>1.3457684152158531</v>
      </c>
      <c r="D45" s="680">
        <f>L7</f>
        <v>2.1679896834894046</v>
      </c>
      <c r="E45" s="659">
        <f t="shared" si="3"/>
        <v>-0.23400053309774579</v>
      </c>
      <c r="F45" s="660">
        <f t="shared" si="3"/>
        <v>0.23400053309774541</v>
      </c>
    </row>
    <row r="46" spans="2:6" ht="17.25" thickBot="1">
      <c r="B46" s="647" t="s">
        <v>727</v>
      </c>
      <c r="C46" s="661">
        <f>F8</f>
        <v>1.717220596910165</v>
      </c>
      <c r="D46" s="661">
        <f>L8</f>
        <v>1.7986246108148136</v>
      </c>
      <c r="E46" s="662">
        <f t="shared" si="3"/>
        <v>-2.2573240005951116E-2</v>
      </c>
      <c r="F46" s="663">
        <f t="shared" si="3"/>
        <v>2.3761203981325155E-2</v>
      </c>
    </row>
  </sheetData>
  <mergeCells count="8">
    <mergeCell ref="C40:D40"/>
    <mergeCell ref="E40:F40"/>
    <mergeCell ref="C13:D13"/>
    <mergeCell ref="E13:F13"/>
    <mergeCell ref="C22:D22"/>
    <mergeCell ref="E22:F22"/>
    <mergeCell ref="C31:D31"/>
    <mergeCell ref="E31:F31"/>
  </mergeCells>
  <phoneticPr fontId="8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13897-8497-4C7F-AEC3-D544BCAA25FD}">
  <dimension ref="A2:Z75"/>
  <sheetViews>
    <sheetView topLeftCell="G1" zoomScale="85" zoomScaleNormal="85" workbookViewId="0">
      <selection activeCell="AA28" sqref="AA28"/>
    </sheetView>
  </sheetViews>
  <sheetFormatPr defaultColWidth="8.75" defaultRowHeight="16.5"/>
  <cols>
    <col min="1" max="4" width="8.75" style="526"/>
    <col min="5" max="5" width="31.25" style="526" customWidth="1"/>
    <col min="6" max="9" width="8.75" style="526"/>
    <col min="10" max="10" width="33.5" style="526" bestFit="1" customWidth="1"/>
    <col min="11" max="14" width="8.75" style="526"/>
    <col min="15" max="15" width="15.875" style="526" customWidth="1"/>
    <col min="16" max="16" width="13.5" style="527" bestFit="1" customWidth="1"/>
    <col min="17" max="17" width="17.25" style="526" bestFit="1" customWidth="1"/>
    <col min="18" max="18" width="9.25" style="526" bestFit="1" customWidth="1"/>
    <col min="19" max="19" width="9.75" style="526" bestFit="1" customWidth="1"/>
    <col min="20" max="20" width="9.25" style="526" bestFit="1" customWidth="1"/>
    <col min="21" max="16384" width="8.75" style="526"/>
  </cols>
  <sheetData>
    <row r="2" spans="2:20">
      <c r="C2" s="526" t="s">
        <v>947</v>
      </c>
      <c r="E2" s="526" t="s">
        <v>948</v>
      </c>
      <c r="F2" s="526" t="s">
        <v>949</v>
      </c>
      <c r="H2" s="526" t="s">
        <v>950</v>
      </c>
      <c r="J2" s="526" t="s">
        <v>951</v>
      </c>
      <c r="K2" s="526" t="s">
        <v>952</v>
      </c>
      <c r="M2" s="526" t="s">
        <v>953</v>
      </c>
      <c r="O2" s="526" t="s">
        <v>954</v>
      </c>
      <c r="P2" s="527" t="s">
        <v>955</v>
      </c>
      <c r="Q2" s="526" t="s">
        <v>956</v>
      </c>
    </row>
    <row r="3" spans="2:20">
      <c r="B3" s="526">
        <v>1</v>
      </c>
      <c r="C3" s="526" t="s">
        <v>957</v>
      </c>
      <c r="E3" s="526" t="s">
        <v>958</v>
      </c>
      <c r="F3" s="528">
        <v>-152.581270659719</v>
      </c>
      <c r="H3" s="528">
        <v>35</v>
      </c>
      <c r="I3" s="526">
        <v>1</v>
      </c>
      <c r="J3" s="526" t="s">
        <v>959</v>
      </c>
      <c r="K3" s="528">
        <v>1230</v>
      </c>
      <c r="M3" s="528">
        <v>697.77413053579801</v>
      </c>
      <c r="N3" s="526" t="b">
        <v>0</v>
      </c>
      <c r="O3" s="529">
        <v>77245001.582805306</v>
      </c>
      <c r="P3" s="530">
        <f t="shared" ref="P3:P26" si="0">O3/3600000</f>
        <v>21.456944884112584</v>
      </c>
      <c r="Q3" s="528">
        <v>2209.5049738268599</v>
      </c>
      <c r="S3" s="526">
        <v>1195</v>
      </c>
      <c r="T3" s="526">
        <v>850.35540119551695</v>
      </c>
    </row>
    <row r="4" spans="2:20">
      <c r="B4" s="526">
        <v>2</v>
      </c>
      <c r="C4" s="526" t="s">
        <v>960</v>
      </c>
      <c r="E4" s="526" t="s">
        <v>961</v>
      </c>
      <c r="F4" s="528">
        <v>33.115670399999999</v>
      </c>
      <c r="H4" s="528">
        <v>708.070381</v>
      </c>
      <c r="I4" s="526">
        <v>1</v>
      </c>
      <c r="J4" s="526" t="s">
        <v>959</v>
      </c>
      <c r="K4" s="528">
        <v>1230</v>
      </c>
      <c r="M4" s="528">
        <v>697.77413053579801</v>
      </c>
      <c r="N4" s="526" t="b">
        <v>0</v>
      </c>
      <c r="O4" s="529">
        <v>2715390748.7486601</v>
      </c>
      <c r="P4" s="530">
        <f t="shared" si="0"/>
        <v>754.27520798573892</v>
      </c>
      <c r="Q4" s="528">
        <v>231868.91329458001</v>
      </c>
      <c r="S4" s="526">
        <v>521.929619</v>
      </c>
      <c r="T4" s="526">
        <v>664.65846013579801</v>
      </c>
    </row>
    <row r="5" spans="2:20">
      <c r="B5" s="526">
        <v>3</v>
      </c>
      <c r="C5" s="526" t="s">
        <v>962</v>
      </c>
      <c r="E5" s="526" t="s">
        <v>963</v>
      </c>
      <c r="F5" s="528">
        <v>15</v>
      </c>
      <c r="H5" s="528">
        <v>35</v>
      </c>
      <c r="I5" s="526">
        <v>1</v>
      </c>
      <c r="J5" s="526" t="s">
        <v>959</v>
      </c>
      <c r="K5" s="528">
        <v>697.77413053579801</v>
      </c>
      <c r="M5" s="528">
        <v>666.15607037386405</v>
      </c>
      <c r="N5" s="526" t="b">
        <v>0</v>
      </c>
      <c r="O5" s="529">
        <v>41005772.928975001</v>
      </c>
      <c r="P5" s="530">
        <f t="shared" si="0"/>
        <v>11.390492480270833</v>
      </c>
      <c r="Q5" s="528">
        <v>524.36286141868902</v>
      </c>
      <c r="S5" s="526">
        <v>662.77413053579801</v>
      </c>
      <c r="T5" s="526">
        <v>651.15607037386405</v>
      </c>
    </row>
    <row r="6" spans="2:20">
      <c r="B6" s="526">
        <v>4</v>
      </c>
      <c r="C6" s="526" t="s">
        <v>964</v>
      </c>
      <c r="E6" s="526" t="s">
        <v>965</v>
      </c>
      <c r="F6" s="528">
        <v>-124.977037</v>
      </c>
      <c r="H6" s="528">
        <v>35</v>
      </c>
      <c r="I6" s="526">
        <v>1</v>
      </c>
      <c r="J6" s="526" t="s">
        <v>959</v>
      </c>
      <c r="K6" s="528">
        <v>697.77413053579801</v>
      </c>
      <c r="M6" s="528">
        <v>666.15607037386405</v>
      </c>
      <c r="N6" s="526" t="b">
        <v>0</v>
      </c>
      <c r="O6" s="529">
        <v>105911773.65742999</v>
      </c>
      <c r="P6" s="530">
        <f t="shared" si="0"/>
        <v>29.419937127063886</v>
      </c>
      <c r="Q6" s="528">
        <v>1517.8128437673499</v>
      </c>
      <c r="S6" s="526">
        <v>662.77413053579801</v>
      </c>
      <c r="T6" s="526">
        <v>791.13310737386405</v>
      </c>
    </row>
    <row r="7" spans="2:20">
      <c r="B7" s="526">
        <v>5</v>
      </c>
      <c r="C7" s="526" t="s">
        <v>966</v>
      </c>
      <c r="E7" s="526" t="s">
        <v>963</v>
      </c>
      <c r="F7" s="528">
        <v>1.6634649743511101</v>
      </c>
      <c r="H7" s="528">
        <v>15</v>
      </c>
      <c r="I7" s="526">
        <v>1</v>
      </c>
      <c r="J7" s="526" t="s">
        <v>967</v>
      </c>
      <c r="K7" s="528">
        <v>35</v>
      </c>
      <c r="M7" s="528">
        <v>27.1146207730899</v>
      </c>
      <c r="N7" s="526">
        <v>1</v>
      </c>
      <c r="O7" s="529">
        <v>27343746.3460541</v>
      </c>
      <c r="P7" s="530">
        <f t="shared" si="0"/>
        <v>7.5954850961261391</v>
      </c>
      <c r="Q7" s="528">
        <v>2627.5200166150298</v>
      </c>
      <c r="S7" s="526">
        <v>20</v>
      </c>
      <c r="T7" s="526">
        <v>25.4511557987388</v>
      </c>
    </row>
    <row r="8" spans="2:20">
      <c r="B8" s="526">
        <v>6</v>
      </c>
      <c r="C8" s="531" t="s">
        <v>968</v>
      </c>
      <c r="D8" s="531"/>
      <c r="E8" s="531" t="s">
        <v>782</v>
      </c>
      <c r="F8" s="532">
        <v>20</v>
      </c>
      <c r="G8" s="531"/>
      <c r="H8" s="532">
        <v>25</v>
      </c>
      <c r="I8" s="531" t="b">
        <v>0</v>
      </c>
      <c r="J8" s="531" t="s">
        <v>959</v>
      </c>
      <c r="K8" s="532">
        <v>666.15607037386405</v>
      </c>
      <c r="L8" s="531"/>
      <c r="M8" s="532">
        <v>95.001737323218407</v>
      </c>
      <c r="N8" s="531">
        <v>1</v>
      </c>
      <c r="O8" s="533">
        <v>2391974034.50247</v>
      </c>
      <c r="P8" s="534">
        <f t="shared" si="0"/>
        <v>664.4372318062417</v>
      </c>
      <c r="Q8" s="532">
        <v>63656.534207650002</v>
      </c>
      <c r="R8" s="531"/>
      <c r="S8" s="531">
        <v>641.15607037386405</v>
      </c>
      <c r="T8" s="531">
        <v>75.001737323218407</v>
      </c>
    </row>
    <row r="9" spans="2:20">
      <c r="B9" s="526">
        <v>7</v>
      </c>
      <c r="C9" s="526" t="s">
        <v>969</v>
      </c>
      <c r="E9" s="526" t="s">
        <v>963</v>
      </c>
      <c r="F9" s="528">
        <v>-119.473661440684</v>
      </c>
      <c r="H9" s="528">
        <v>1.6634649743511101</v>
      </c>
      <c r="I9" s="526">
        <v>1</v>
      </c>
      <c r="J9" s="526" t="s">
        <v>959</v>
      </c>
      <c r="K9" s="528">
        <v>95.001737323218407</v>
      </c>
      <c r="M9" s="528">
        <v>30</v>
      </c>
      <c r="N9" s="526">
        <v>1</v>
      </c>
      <c r="O9" s="529">
        <v>248366074.95217401</v>
      </c>
      <c r="P9" s="530">
        <f t="shared" si="0"/>
        <v>68.990576375603894</v>
      </c>
      <c r="Q9" s="528">
        <v>18828.978227570598</v>
      </c>
      <c r="S9" s="526">
        <v>93.338272348867307</v>
      </c>
      <c r="T9" s="526">
        <v>149.473661440684</v>
      </c>
    </row>
    <row r="10" spans="2:20">
      <c r="B10" s="526">
        <v>8</v>
      </c>
      <c r="C10" s="526" t="s">
        <v>970</v>
      </c>
      <c r="E10" s="526" t="s">
        <v>971</v>
      </c>
      <c r="F10" s="528">
        <v>-87.391500579819294</v>
      </c>
      <c r="H10" s="528">
        <v>-82.1809303</v>
      </c>
      <c r="I10" s="526" t="b">
        <v>0</v>
      </c>
      <c r="J10" s="526" t="s">
        <v>972</v>
      </c>
      <c r="K10" s="528">
        <v>-60</v>
      </c>
      <c r="M10" s="528">
        <v>-75.406231828833896</v>
      </c>
      <c r="N10" s="526">
        <v>1</v>
      </c>
      <c r="O10" s="529">
        <v>52482156.0346025</v>
      </c>
      <c r="P10" s="530">
        <f t="shared" si="0"/>
        <v>14.578376676278472</v>
      </c>
      <c r="Q10" s="528">
        <v>3627.0798774176701</v>
      </c>
      <c r="S10" s="526">
        <v>22.1809303</v>
      </c>
      <c r="T10" s="526">
        <v>11.9852687509853</v>
      </c>
    </row>
    <row r="11" spans="2:20">
      <c r="B11" s="526">
        <v>9</v>
      </c>
      <c r="C11" s="526" t="s">
        <v>973</v>
      </c>
      <c r="E11" s="526" t="s">
        <v>963</v>
      </c>
      <c r="F11" s="528">
        <v>-154.96704807668399</v>
      </c>
      <c r="H11" s="528">
        <v>-119.473661440684</v>
      </c>
      <c r="I11" s="526">
        <v>1</v>
      </c>
      <c r="J11" s="526" t="s">
        <v>974</v>
      </c>
      <c r="K11" s="528">
        <v>-104.12595326851</v>
      </c>
      <c r="M11" s="528">
        <v>-104.193123216595</v>
      </c>
      <c r="N11" s="526">
        <v>1</v>
      </c>
      <c r="O11" s="529">
        <v>72771687.643806607</v>
      </c>
      <c r="P11" s="530">
        <f t="shared" si="0"/>
        <v>20.214357678835167</v>
      </c>
      <c r="Q11" s="528">
        <v>2547.8667252461</v>
      </c>
      <c r="S11" s="526">
        <v>15.3477081721741</v>
      </c>
      <c r="T11" s="526">
        <v>50.773924860088997</v>
      </c>
    </row>
    <row r="12" spans="2:20">
      <c r="B12" s="526">
        <v>10</v>
      </c>
      <c r="C12" s="526" t="s">
        <v>975</v>
      </c>
      <c r="E12" s="526" t="s">
        <v>976</v>
      </c>
      <c r="F12" s="528">
        <v>-56.348231355268197</v>
      </c>
      <c r="H12" s="528">
        <v>-51.280822899999997</v>
      </c>
      <c r="I12" s="526">
        <v>1</v>
      </c>
      <c r="J12" s="526" t="s">
        <v>977</v>
      </c>
      <c r="K12" s="528">
        <v>20</v>
      </c>
      <c r="M12" s="528">
        <v>-28.5670407777775</v>
      </c>
      <c r="N12" s="526">
        <v>1</v>
      </c>
      <c r="O12" s="529">
        <v>175386497.12285101</v>
      </c>
      <c r="P12" s="530">
        <f t="shared" si="0"/>
        <v>48.718471423014172</v>
      </c>
      <c r="Q12" s="528">
        <v>3506.0192248901699</v>
      </c>
      <c r="S12" s="526">
        <v>71.280822900000004</v>
      </c>
      <c r="T12" s="526">
        <v>27.781190577490701</v>
      </c>
    </row>
    <row r="13" spans="2:20">
      <c r="B13" s="526">
        <v>11</v>
      </c>
      <c r="C13" s="526" t="s">
        <v>978</v>
      </c>
      <c r="E13" s="526" t="s">
        <v>971</v>
      </c>
      <c r="F13" s="528">
        <v>-87.391500579819294</v>
      </c>
      <c r="H13" s="528">
        <v>-82.1809303</v>
      </c>
      <c r="I13" s="526" t="b">
        <v>0</v>
      </c>
      <c r="J13" s="526" t="s">
        <v>979</v>
      </c>
      <c r="K13" s="528">
        <v>-31.127413313612699</v>
      </c>
      <c r="M13" s="528">
        <v>-44.433368986792701</v>
      </c>
      <c r="N13" s="526">
        <v>1</v>
      </c>
      <c r="O13" s="529">
        <v>45654055.863016203</v>
      </c>
      <c r="P13" s="530">
        <f t="shared" si="0"/>
        <v>12.681682184171168</v>
      </c>
      <c r="Q13" s="528">
        <v>1544.74466950953</v>
      </c>
      <c r="S13" s="526">
        <v>51.053516986387301</v>
      </c>
      <c r="T13" s="526">
        <v>42.9581315930266</v>
      </c>
    </row>
    <row r="14" spans="2:20">
      <c r="B14" s="526">
        <v>12</v>
      </c>
      <c r="C14" s="531" t="s">
        <v>980</v>
      </c>
      <c r="D14" s="531"/>
      <c r="E14" s="531" t="s">
        <v>981</v>
      </c>
      <c r="F14" s="532">
        <v>-269.24253056437402</v>
      </c>
      <c r="G14" s="531"/>
      <c r="H14" s="532">
        <v>-269</v>
      </c>
      <c r="I14" s="531" t="b">
        <v>0</v>
      </c>
      <c r="J14" s="531" t="s">
        <v>982</v>
      </c>
      <c r="K14" s="532">
        <v>-140</v>
      </c>
      <c r="L14" s="531"/>
      <c r="M14" s="532">
        <v>-159.13215600000001</v>
      </c>
      <c r="N14" s="531">
        <v>1</v>
      </c>
      <c r="O14" s="533">
        <v>116409735.100402</v>
      </c>
      <c r="P14" s="534">
        <f t="shared" si="0"/>
        <v>32.336037527889445</v>
      </c>
      <c r="Q14" s="532">
        <v>452.97962597271498</v>
      </c>
      <c r="R14" s="531"/>
      <c r="S14" s="531">
        <v>129</v>
      </c>
      <c r="T14" s="531">
        <v>110.110374564374</v>
      </c>
    </row>
    <row r="15" spans="2:20">
      <c r="B15" s="526">
        <v>13</v>
      </c>
      <c r="C15" s="531" t="s">
        <v>983</v>
      </c>
      <c r="D15" s="531"/>
      <c r="E15" s="531" t="s">
        <v>981</v>
      </c>
      <c r="F15" s="532">
        <v>-269.24253056437402</v>
      </c>
      <c r="G15" s="531"/>
      <c r="H15" s="532">
        <v>-269</v>
      </c>
      <c r="I15" s="531" t="b">
        <v>0</v>
      </c>
      <c r="J15" s="531" t="s">
        <v>984</v>
      </c>
      <c r="K15" s="532">
        <v>38.387636965150499</v>
      </c>
      <c r="L15" s="531"/>
      <c r="M15" s="532">
        <v>0.89491272300000402</v>
      </c>
      <c r="N15" s="531">
        <v>1</v>
      </c>
      <c r="O15" s="533">
        <v>323821.28429353499</v>
      </c>
      <c r="P15" s="534">
        <f t="shared" si="0"/>
        <v>8.995035674820416E-2</v>
      </c>
      <c r="Q15" s="532">
        <v>1.0619544203459499</v>
      </c>
      <c r="R15" s="531"/>
      <c r="S15" s="531">
        <v>307.38763696515002</v>
      </c>
      <c r="T15" s="531">
        <v>270.13744328737403</v>
      </c>
    </row>
    <row r="16" spans="2:20">
      <c r="B16" s="526">
        <v>14</v>
      </c>
      <c r="C16" s="531" t="s">
        <v>985</v>
      </c>
      <c r="D16" s="531"/>
      <c r="E16" s="531" t="s">
        <v>981</v>
      </c>
      <c r="F16" s="532">
        <v>-269.24253056437402</v>
      </c>
      <c r="G16" s="531"/>
      <c r="H16" s="532">
        <v>-269</v>
      </c>
      <c r="I16" s="531" t="b">
        <v>0</v>
      </c>
      <c r="J16" s="531" t="s">
        <v>986</v>
      </c>
      <c r="K16" s="532">
        <v>-124.73483866141299</v>
      </c>
      <c r="L16" s="531"/>
      <c r="M16" s="532">
        <v>-124.977037</v>
      </c>
      <c r="N16" s="531">
        <v>1</v>
      </c>
      <c r="O16" s="533">
        <v>18896308.556804899</v>
      </c>
      <c r="P16" s="534">
        <f t="shared" si="0"/>
        <v>5.2489745991124721</v>
      </c>
      <c r="Q16" s="532">
        <v>67.1312859577083</v>
      </c>
      <c r="R16" s="531"/>
      <c r="S16" s="531">
        <v>144.26516133858701</v>
      </c>
      <c r="T16" s="531">
        <v>144.265493564374</v>
      </c>
    </row>
    <row r="17" spans="1:26">
      <c r="B17" s="526">
        <v>15</v>
      </c>
      <c r="C17" s="535" t="s">
        <v>987</v>
      </c>
      <c r="D17" s="535"/>
      <c r="E17" s="535" t="s">
        <v>988</v>
      </c>
      <c r="F17" s="536">
        <v>250.52966608394701</v>
      </c>
      <c r="G17" s="535"/>
      <c r="H17" s="536">
        <v>251.234433</v>
      </c>
      <c r="I17" s="535">
        <v>1</v>
      </c>
      <c r="J17" s="535" t="s">
        <v>989</v>
      </c>
      <c r="K17" s="536">
        <v>2000</v>
      </c>
      <c r="L17" s="535"/>
      <c r="M17" s="536">
        <v>830</v>
      </c>
      <c r="N17" s="535" t="b">
        <v>0</v>
      </c>
      <c r="O17" s="537">
        <v>18534904.802820198</v>
      </c>
      <c r="P17" s="534">
        <f t="shared" si="0"/>
        <v>5.1485846674500548</v>
      </c>
      <c r="Q17" s="536">
        <v>44.847470115469399</v>
      </c>
      <c r="R17" s="535"/>
      <c r="S17" s="535">
        <v>1748.7655669999999</v>
      </c>
      <c r="T17" s="535">
        <v>579.47033391605305</v>
      </c>
    </row>
    <row r="18" spans="1:26">
      <c r="B18" s="526">
        <v>16</v>
      </c>
      <c r="C18" s="526" t="s">
        <v>990</v>
      </c>
      <c r="E18" s="526" t="s">
        <v>963</v>
      </c>
      <c r="F18" s="528">
        <v>-167</v>
      </c>
      <c r="H18" s="528">
        <v>-154.96704807668399</v>
      </c>
      <c r="I18" s="526">
        <v>1</v>
      </c>
      <c r="J18" s="526" t="s">
        <v>967</v>
      </c>
      <c r="K18" s="528">
        <v>27.1146207730899</v>
      </c>
      <c r="M18" s="528">
        <v>20</v>
      </c>
      <c r="N18" s="526">
        <v>1</v>
      </c>
      <c r="O18" s="529">
        <v>24671024.711638</v>
      </c>
      <c r="P18" s="530">
        <f t="shared" si="0"/>
        <v>6.8530624198994445</v>
      </c>
      <c r="Q18" s="528">
        <v>280.39568731181703</v>
      </c>
      <c r="S18" s="526">
        <v>182.08166884977399</v>
      </c>
      <c r="T18" s="526">
        <v>187</v>
      </c>
    </row>
    <row r="19" spans="1:26">
      <c r="B19" s="526">
        <v>17</v>
      </c>
      <c r="C19" s="531" t="s">
        <v>991</v>
      </c>
      <c r="D19" s="531"/>
      <c r="E19" s="531" t="s">
        <v>981</v>
      </c>
      <c r="F19" s="532">
        <v>-270</v>
      </c>
      <c r="G19" s="531"/>
      <c r="H19" s="532">
        <v>-269.24253056437402</v>
      </c>
      <c r="I19" s="531" t="b">
        <v>0</v>
      </c>
      <c r="J19" s="531" t="s">
        <v>992</v>
      </c>
      <c r="K19" s="532">
        <v>-159.13215600000001</v>
      </c>
      <c r="L19" s="531"/>
      <c r="M19" s="532">
        <v>-167</v>
      </c>
      <c r="N19" s="531">
        <v>1</v>
      </c>
      <c r="O19" s="533">
        <v>37516725.413856</v>
      </c>
      <c r="P19" s="534">
        <f t="shared" si="0"/>
        <v>10.42131261496</v>
      </c>
      <c r="Q19" s="532">
        <v>564.50129293723103</v>
      </c>
      <c r="R19" s="531"/>
      <c r="S19" s="531">
        <v>110.110374564374</v>
      </c>
      <c r="T19" s="531">
        <v>103</v>
      </c>
    </row>
    <row r="20" spans="1:26">
      <c r="B20" s="526">
        <v>18</v>
      </c>
      <c r="C20" s="531" t="s">
        <v>993</v>
      </c>
      <c r="D20" s="531"/>
      <c r="E20" s="531" t="s">
        <v>981</v>
      </c>
      <c r="F20" s="532">
        <v>-270</v>
      </c>
      <c r="G20" s="531"/>
      <c r="H20" s="532">
        <v>-269.24253056437402</v>
      </c>
      <c r="I20" s="531" t="b">
        <v>0</v>
      </c>
      <c r="J20" s="531" t="s">
        <v>994</v>
      </c>
      <c r="K20" s="532">
        <v>-103.315602</v>
      </c>
      <c r="L20" s="531"/>
      <c r="M20" s="532">
        <v>-140</v>
      </c>
      <c r="N20" s="531">
        <v>1</v>
      </c>
      <c r="O20" s="533">
        <v>283465028.52252001</v>
      </c>
      <c r="P20" s="534">
        <f t="shared" si="0"/>
        <v>78.740285700699999</v>
      </c>
      <c r="Q20" s="532">
        <v>3086.0352733077402</v>
      </c>
      <c r="R20" s="531"/>
      <c r="S20" s="531">
        <v>165.92692856437401</v>
      </c>
      <c r="T20" s="531">
        <v>130</v>
      </c>
    </row>
    <row r="21" spans="1:26">
      <c r="B21" s="526">
        <v>19</v>
      </c>
      <c r="C21" s="531" t="s">
        <v>995</v>
      </c>
      <c r="D21" s="531"/>
      <c r="E21" s="531" t="s">
        <v>981</v>
      </c>
      <c r="F21" s="532">
        <v>-270</v>
      </c>
      <c r="G21" s="531"/>
      <c r="H21" s="532">
        <v>-269.24253056437402</v>
      </c>
      <c r="I21" s="531" t="b">
        <v>0</v>
      </c>
      <c r="J21" s="531" t="s">
        <v>972</v>
      </c>
      <c r="K21" s="532">
        <v>-75.406231828833896</v>
      </c>
      <c r="L21" s="531"/>
      <c r="M21" s="532">
        <v>-103.315602</v>
      </c>
      <c r="N21" s="531">
        <v>1</v>
      </c>
      <c r="O21" s="533">
        <v>102616308.91684701</v>
      </c>
      <c r="P21" s="534">
        <f t="shared" si="0"/>
        <v>28.504530254679725</v>
      </c>
      <c r="Q21" s="532">
        <v>628.58754624023697</v>
      </c>
      <c r="R21" s="531"/>
      <c r="S21" s="531">
        <v>193.83629873554</v>
      </c>
      <c r="T21" s="531">
        <v>166.68439799999999</v>
      </c>
    </row>
    <row r="22" spans="1:26">
      <c r="B22" s="526">
        <v>20</v>
      </c>
      <c r="C22" s="535" t="s">
        <v>996</v>
      </c>
      <c r="D22" s="535"/>
      <c r="E22" s="535" t="s">
        <v>997</v>
      </c>
      <c r="F22" s="536">
        <v>34.865663859087299</v>
      </c>
      <c r="G22" s="535"/>
      <c r="H22" s="536">
        <v>35</v>
      </c>
      <c r="I22" s="535">
        <v>1</v>
      </c>
      <c r="J22" s="535" t="s">
        <v>188</v>
      </c>
      <c r="K22" s="536">
        <v>125</v>
      </c>
      <c r="L22" s="535"/>
      <c r="M22" s="536">
        <v>124.050668371249</v>
      </c>
      <c r="N22" s="535" t="b">
        <v>0</v>
      </c>
      <c r="O22" s="537">
        <v>467559.64670439798</v>
      </c>
      <c r="P22" s="538">
        <f t="shared" si="0"/>
        <v>0.12987767964011054</v>
      </c>
      <c r="Q22" s="536">
        <v>7.4899245536767101</v>
      </c>
      <c r="R22" s="535"/>
      <c r="S22" s="535">
        <v>90</v>
      </c>
      <c r="T22" s="535">
        <v>89.185004512161996</v>
      </c>
    </row>
    <row r="23" spans="1:26">
      <c r="B23" s="526">
        <v>21</v>
      </c>
      <c r="C23" s="526" t="s">
        <v>998</v>
      </c>
      <c r="E23" s="526" t="s">
        <v>971</v>
      </c>
      <c r="F23" s="528">
        <v>-88.318584536369499</v>
      </c>
      <c r="H23" s="528">
        <v>-87.391500579819294</v>
      </c>
      <c r="I23" s="526" t="b">
        <v>0</v>
      </c>
      <c r="J23" s="526" t="s">
        <v>977</v>
      </c>
      <c r="K23" s="528">
        <v>-28.5670407777775</v>
      </c>
      <c r="M23" s="528">
        <v>-31.141817199999998</v>
      </c>
      <c r="N23" s="526">
        <v>1</v>
      </c>
      <c r="O23" s="529">
        <v>9298096.2054976299</v>
      </c>
      <c r="P23" s="530">
        <f t="shared" si="0"/>
        <v>2.5828045015271193</v>
      </c>
      <c r="Q23" s="528">
        <v>135.925467114605</v>
      </c>
      <c r="S23" s="526">
        <v>58.824459802041702</v>
      </c>
      <c r="T23" s="526">
        <v>57.176767336369601</v>
      </c>
    </row>
    <row r="24" spans="1:26">
      <c r="B24" s="526">
        <v>22</v>
      </c>
      <c r="C24" s="526" t="s">
        <v>999</v>
      </c>
      <c r="E24" s="526" t="s">
        <v>958</v>
      </c>
      <c r="F24" s="528">
        <v>-169.27893900000001</v>
      </c>
      <c r="H24" s="528">
        <v>-152.581270659719</v>
      </c>
      <c r="I24" s="526">
        <v>1</v>
      </c>
      <c r="J24" s="526" t="s">
        <v>974</v>
      </c>
      <c r="K24" s="528">
        <v>-104.193123216595</v>
      </c>
      <c r="M24" s="528">
        <v>-106.017233</v>
      </c>
      <c r="N24" s="526">
        <v>1</v>
      </c>
      <c r="O24" s="529">
        <v>103159142.90264</v>
      </c>
      <c r="P24" s="530">
        <f t="shared" si="0"/>
        <v>28.655317472955556</v>
      </c>
      <c r="Q24" s="528">
        <v>296.12329007772797</v>
      </c>
      <c r="S24" s="526">
        <v>48.388147443124097</v>
      </c>
      <c r="T24" s="526">
        <v>63.261705999999997</v>
      </c>
    </row>
    <row r="25" spans="1:26">
      <c r="B25" s="526">
        <v>23</v>
      </c>
      <c r="C25" s="526" t="s">
        <v>1000</v>
      </c>
      <c r="E25" s="526" t="s">
        <v>971</v>
      </c>
      <c r="F25" s="528">
        <v>-88.318584536369499</v>
      </c>
      <c r="H25" s="528">
        <v>-87.391500579819294</v>
      </c>
      <c r="I25" s="526" t="b">
        <v>0</v>
      </c>
      <c r="J25" s="526" t="s">
        <v>979</v>
      </c>
      <c r="K25" s="528">
        <v>-44.433368986792701</v>
      </c>
      <c r="M25" s="528">
        <v>-60</v>
      </c>
      <c r="N25" s="526">
        <v>1</v>
      </c>
      <c r="O25" s="529">
        <v>53410657.5530238</v>
      </c>
      <c r="P25" s="530">
        <f t="shared" si="0"/>
        <v>14.836293764728833</v>
      </c>
      <c r="Q25" s="528">
        <v>2179.8081586858202</v>
      </c>
      <c r="S25" s="526">
        <v>42.9581315930266</v>
      </c>
      <c r="T25" s="526">
        <v>28.318584536369499</v>
      </c>
    </row>
    <row r="26" spans="1:26">
      <c r="B26" s="526">
        <v>24</v>
      </c>
      <c r="C26" s="535" t="s">
        <v>1001</v>
      </c>
      <c r="D26" s="535"/>
      <c r="E26" s="535" t="s">
        <v>997</v>
      </c>
      <c r="F26" s="536">
        <v>34.858493979507003</v>
      </c>
      <c r="G26" s="535"/>
      <c r="H26" s="536">
        <v>34.865663859087299</v>
      </c>
      <c r="I26" s="535">
        <v>1</v>
      </c>
      <c r="J26" s="535" t="s">
        <v>188</v>
      </c>
      <c r="K26" s="536">
        <v>124.050668371249</v>
      </c>
      <c r="L26" s="535"/>
      <c r="M26" s="536">
        <v>124</v>
      </c>
      <c r="N26" s="535" t="b">
        <v>0</v>
      </c>
      <c r="O26" s="537">
        <v>24954.910426402101</v>
      </c>
      <c r="P26" s="538">
        <f t="shared" si="0"/>
        <v>6.9319195628894728E-3</v>
      </c>
      <c r="Q26" s="536">
        <v>0.40167800757767103</v>
      </c>
      <c r="R26" s="535"/>
      <c r="S26" s="535">
        <v>89.185004512161996</v>
      </c>
      <c r="T26" s="535">
        <v>89.141506020492997</v>
      </c>
    </row>
    <row r="29" spans="1:26">
      <c r="A29" s="539" t="s">
        <v>1002</v>
      </c>
      <c r="C29" s="527" t="s">
        <v>947</v>
      </c>
      <c r="D29" s="527"/>
      <c r="E29" s="527" t="s">
        <v>948</v>
      </c>
      <c r="F29" s="527" t="s">
        <v>949</v>
      </c>
      <c r="G29" s="527"/>
      <c r="H29" s="527" t="s">
        <v>950</v>
      </c>
      <c r="I29" s="527"/>
      <c r="J29" s="527" t="s">
        <v>951</v>
      </c>
      <c r="K29" s="527" t="s">
        <v>952</v>
      </c>
      <c r="L29" s="527"/>
      <c r="M29" s="527" t="s">
        <v>953</v>
      </c>
      <c r="N29" s="527"/>
      <c r="O29" s="527" t="s">
        <v>954</v>
      </c>
      <c r="P29" s="527" t="s">
        <v>955</v>
      </c>
      <c r="Q29" s="527" t="s">
        <v>956</v>
      </c>
      <c r="W29" s="526" t="s">
        <v>1002</v>
      </c>
      <c r="Y29" s="526" t="s">
        <v>1003</v>
      </c>
    </row>
    <row r="30" spans="1:26">
      <c r="A30" s="526" t="s">
        <v>1004</v>
      </c>
      <c r="B30" s="526">
        <v>1</v>
      </c>
      <c r="C30" s="526" t="str">
        <f t="shared" ref="C30:Q30" si="1">C4</f>
        <v>E-111</v>
      </c>
      <c r="D30" s="526">
        <f t="shared" si="1"/>
        <v>0</v>
      </c>
      <c r="E30" s="526" t="str">
        <f t="shared" si="1"/>
        <v>3_To_4</v>
      </c>
      <c r="F30" s="526">
        <f t="shared" si="1"/>
        <v>33.115670399999999</v>
      </c>
      <c r="G30" s="526">
        <f t="shared" si="1"/>
        <v>0</v>
      </c>
      <c r="H30" s="526">
        <f t="shared" si="1"/>
        <v>708.070381</v>
      </c>
      <c r="I30" s="526">
        <f t="shared" si="1"/>
        <v>1</v>
      </c>
      <c r="J30" s="526" t="str">
        <f t="shared" si="1"/>
        <v>5_To_10</v>
      </c>
      <c r="K30" s="526">
        <f t="shared" si="1"/>
        <v>1230</v>
      </c>
      <c r="L30" s="526">
        <f t="shared" si="1"/>
        <v>0</v>
      </c>
      <c r="M30" s="526">
        <f t="shared" si="1"/>
        <v>697.77413053579801</v>
      </c>
      <c r="N30" s="526" t="b">
        <f t="shared" si="1"/>
        <v>0</v>
      </c>
      <c r="O30" s="528">
        <f t="shared" si="1"/>
        <v>2715390748.7486601</v>
      </c>
      <c r="P30" s="540">
        <f t="shared" si="1"/>
        <v>754.27520798573892</v>
      </c>
      <c r="Q30" s="528">
        <f t="shared" si="1"/>
        <v>231868.91329458001</v>
      </c>
      <c r="R30" s="528"/>
      <c r="S30" s="528">
        <f>S4</f>
        <v>521.929619</v>
      </c>
      <c r="T30" s="528">
        <f>T4</f>
        <v>664.65846013579801</v>
      </c>
      <c r="W30" s="526" t="s">
        <v>1005</v>
      </c>
      <c r="X30" s="526" t="s">
        <v>1006</v>
      </c>
      <c r="Y30" s="526" t="s">
        <v>1005</v>
      </c>
      <c r="Z30" s="526" t="s">
        <v>1006</v>
      </c>
    </row>
    <row r="31" spans="1:26">
      <c r="O31" s="528"/>
      <c r="P31" s="540"/>
      <c r="Q31" s="528"/>
      <c r="R31" s="528"/>
      <c r="S31" s="528"/>
      <c r="T31" s="528"/>
      <c r="V31" s="526" t="s">
        <v>907</v>
      </c>
      <c r="W31" s="528">
        <f>P30</f>
        <v>754.27520798573892</v>
      </c>
      <c r="X31" s="526">
        <v>0</v>
      </c>
      <c r="Y31" s="528">
        <f>SUM(P53:P58)</f>
        <v>1549.9703906590319</v>
      </c>
      <c r="Z31" s="528">
        <f>P57</f>
        <v>664.4372318062417</v>
      </c>
    </row>
    <row r="32" spans="1:26">
      <c r="A32" s="526" t="s">
        <v>1007</v>
      </c>
      <c r="B32" s="526">
        <v>2</v>
      </c>
      <c r="C32" s="535" t="str">
        <f t="shared" ref="C32:Q32" si="2">C17</f>
        <v>E-124</v>
      </c>
      <c r="D32" s="535">
        <f t="shared" si="2"/>
        <v>0</v>
      </c>
      <c r="E32" s="535" t="str">
        <f t="shared" si="2"/>
        <v>To Reboiler@T1_TO_20-BEN</v>
      </c>
      <c r="F32" s="535">
        <f t="shared" si="2"/>
        <v>250.52966608394701</v>
      </c>
      <c r="G32" s="535">
        <f t="shared" si="2"/>
        <v>0</v>
      </c>
      <c r="H32" s="535">
        <f t="shared" si="2"/>
        <v>251.234433</v>
      </c>
      <c r="I32" s="535">
        <f t="shared" si="2"/>
        <v>1</v>
      </c>
      <c r="J32" s="535" t="str">
        <f t="shared" si="2"/>
        <v>FIRED</v>
      </c>
      <c r="K32" s="535">
        <f t="shared" si="2"/>
        <v>2000</v>
      </c>
      <c r="L32" s="535">
        <f t="shared" si="2"/>
        <v>0</v>
      </c>
      <c r="M32" s="535">
        <f t="shared" si="2"/>
        <v>830</v>
      </c>
      <c r="N32" s="535" t="b">
        <f t="shared" si="2"/>
        <v>0</v>
      </c>
      <c r="O32" s="536">
        <f t="shared" si="2"/>
        <v>18534904.802820198</v>
      </c>
      <c r="P32" s="541">
        <f t="shared" si="2"/>
        <v>5.1485846674500548</v>
      </c>
      <c r="Q32" s="536">
        <f t="shared" si="2"/>
        <v>44.847470115469399</v>
      </c>
      <c r="R32" s="536"/>
      <c r="S32" s="536">
        <f>S17</f>
        <v>1748.7655669999999</v>
      </c>
      <c r="T32" s="536">
        <f>T17</f>
        <v>579.47033391605305</v>
      </c>
      <c r="V32" s="526" t="s">
        <v>1008</v>
      </c>
      <c r="W32" s="528">
        <f>SUM(P32:P35)</f>
        <v>20.121688031381886</v>
      </c>
      <c r="X32" s="528">
        <f>P32+P34+P35</f>
        <v>5.2853942666530553</v>
      </c>
      <c r="Y32" s="528">
        <f>SUM(P60:P68)</f>
        <v>113.18510102160603</v>
      </c>
      <c r="Z32" s="528">
        <f>P64+P65</f>
        <v>5.3389249558606764</v>
      </c>
    </row>
    <row r="33" spans="1:26">
      <c r="B33" s="526">
        <v>3</v>
      </c>
      <c r="C33" s="526" t="str">
        <f t="shared" ref="C33:Q33" si="3">C25</f>
        <v>E-132</v>
      </c>
      <c r="D33" s="526">
        <f t="shared" si="3"/>
        <v>0</v>
      </c>
      <c r="E33" s="526" t="str">
        <f t="shared" si="3"/>
        <v>To Reboiler@T3_TO_28-C2C5</v>
      </c>
      <c r="F33" s="526">
        <f t="shared" si="3"/>
        <v>-88.318584536369499</v>
      </c>
      <c r="G33" s="526">
        <f t="shared" si="3"/>
        <v>0</v>
      </c>
      <c r="H33" s="526">
        <f t="shared" si="3"/>
        <v>-87.391500579819294</v>
      </c>
      <c r="I33" s="526" t="b">
        <f t="shared" si="3"/>
        <v>0</v>
      </c>
      <c r="J33" s="526" t="str">
        <f t="shared" si="3"/>
        <v>V3_heat</v>
      </c>
      <c r="K33" s="526">
        <f t="shared" si="3"/>
        <v>-44.433368986792701</v>
      </c>
      <c r="L33" s="526">
        <f t="shared" si="3"/>
        <v>0</v>
      </c>
      <c r="M33" s="526">
        <f t="shared" si="3"/>
        <v>-60</v>
      </c>
      <c r="N33" s="526">
        <f t="shared" si="3"/>
        <v>1</v>
      </c>
      <c r="O33" s="528">
        <f t="shared" si="3"/>
        <v>53410657.5530238</v>
      </c>
      <c r="P33" s="540">
        <f t="shared" si="3"/>
        <v>14.836293764728833</v>
      </c>
      <c r="Q33" s="528">
        <f t="shared" si="3"/>
        <v>2179.8081586858202</v>
      </c>
      <c r="R33" s="528"/>
      <c r="S33" s="528">
        <f>S25</f>
        <v>42.9581315930266</v>
      </c>
      <c r="T33" s="528">
        <f>T25</f>
        <v>28.318584536369499</v>
      </c>
      <c r="V33" s="526" t="s">
        <v>1009</v>
      </c>
      <c r="W33" s="528">
        <f>SUM(P37:P49)</f>
        <v>287.97380208458731</v>
      </c>
      <c r="X33" s="526">
        <v>0</v>
      </c>
      <c r="Y33" s="528">
        <f>SUM(P70:P75)</f>
        <v>197.36731099534015</v>
      </c>
      <c r="Z33" s="528">
        <f>SUM(P71:P74)</f>
        <v>148.49763584354946</v>
      </c>
    </row>
    <row r="34" spans="1:26">
      <c r="B34" s="526">
        <v>4</v>
      </c>
      <c r="C34" s="535" t="str">
        <f t="shared" ref="C34:Q34" si="4">C26</f>
        <v>E-133</v>
      </c>
      <c r="D34" s="535">
        <f t="shared" si="4"/>
        <v>0</v>
      </c>
      <c r="E34" s="535" t="str">
        <f t="shared" si="4"/>
        <v>V1_heat</v>
      </c>
      <c r="F34" s="535">
        <f t="shared" si="4"/>
        <v>34.858493979507003</v>
      </c>
      <c r="G34" s="535">
        <f t="shared" si="4"/>
        <v>0</v>
      </c>
      <c r="H34" s="535">
        <f t="shared" si="4"/>
        <v>34.865663859087299</v>
      </c>
      <c r="I34" s="535">
        <f t="shared" si="4"/>
        <v>1</v>
      </c>
      <c r="J34" s="535" t="str">
        <f t="shared" si="4"/>
        <v>LPS</v>
      </c>
      <c r="K34" s="535">
        <f t="shared" si="4"/>
        <v>124.050668371249</v>
      </c>
      <c r="L34" s="535">
        <f t="shared" si="4"/>
        <v>0</v>
      </c>
      <c r="M34" s="535">
        <f t="shared" si="4"/>
        <v>124</v>
      </c>
      <c r="N34" s="535" t="b">
        <f t="shared" si="4"/>
        <v>0</v>
      </c>
      <c r="O34" s="536">
        <f t="shared" si="4"/>
        <v>24954.910426402101</v>
      </c>
      <c r="P34" s="541">
        <f t="shared" si="4"/>
        <v>6.9319195628894728E-3</v>
      </c>
      <c r="Q34" s="536">
        <f t="shared" si="4"/>
        <v>0.40167800757767103</v>
      </c>
      <c r="R34" s="536"/>
      <c r="S34" s="536">
        <f>S26</f>
        <v>89.185004512161996</v>
      </c>
      <c r="T34" s="536">
        <f>T26</f>
        <v>89.141506020492997</v>
      </c>
      <c r="V34" s="526" t="s">
        <v>1010</v>
      </c>
      <c r="W34" s="528">
        <f>SUM(W31:W33)</f>
        <v>1062.3706981017081</v>
      </c>
      <c r="X34" s="528">
        <f>SUM(X31:X33)</f>
        <v>5.2853942666530553</v>
      </c>
      <c r="Y34" s="528">
        <f>SUM(Y31:Y33)</f>
        <v>1860.522802675978</v>
      </c>
      <c r="Z34" s="528">
        <f>SUM(Z31:Z33)</f>
        <v>818.27379260565181</v>
      </c>
    </row>
    <row r="35" spans="1:26">
      <c r="B35" s="526">
        <v>5</v>
      </c>
      <c r="C35" s="535" t="str">
        <f t="shared" ref="C35:Q35" si="5">C22</f>
        <v>E-129</v>
      </c>
      <c r="D35" s="535">
        <f t="shared" si="5"/>
        <v>0</v>
      </c>
      <c r="E35" s="535" t="str">
        <f t="shared" si="5"/>
        <v>V1_heat</v>
      </c>
      <c r="F35" s="535">
        <f t="shared" si="5"/>
        <v>34.865663859087299</v>
      </c>
      <c r="G35" s="535">
        <f t="shared" si="5"/>
        <v>0</v>
      </c>
      <c r="H35" s="535">
        <f t="shared" si="5"/>
        <v>35</v>
      </c>
      <c r="I35" s="535">
        <f t="shared" si="5"/>
        <v>1</v>
      </c>
      <c r="J35" s="535" t="str">
        <f t="shared" si="5"/>
        <v>LPS</v>
      </c>
      <c r="K35" s="535">
        <f t="shared" si="5"/>
        <v>125</v>
      </c>
      <c r="L35" s="535">
        <f t="shared" si="5"/>
        <v>0</v>
      </c>
      <c r="M35" s="535">
        <f t="shared" si="5"/>
        <v>124.050668371249</v>
      </c>
      <c r="N35" s="535" t="b">
        <f t="shared" si="5"/>
        <v>0</v>
      </c>
      <c r="O35" s="536">
        <f t="shared" si="5"/>
        <v>467559.64670439798</v>
      </c>
      <c r="P35" s="541">
        <f t="shared" si="5"/>
        <v>0.12987767964011054</v>
      </c>
      <c r="Q35" s="536">
        <f t="shared" si="5"/>
        <v>7.4899245536767101</v>
      </c>
      <c r="R35" s="536"/>
      <c r="S35" s="536">
        <f>S22</f>
        <v>90</v>
      </c>
      <c r="T35" s="536">
        <f>T22</f>
        <v>89.185004512161996</v>
      </c>
    </row>
    <row r="36" spans="1:26">
      <c r="O36" s="528"/>
      <c r="P36" s="540"/>
      <c r="Q36" s="528"/>
      <c r="R36" s="528"/>
      <c r="S36" s="528"/>
      <c r="T36" s="528"/>
    </row>
    <row r="37" spans="1:26">
      <c r="A37" s="526" t="s">
        <v>1011</v>
      </c>
      <c r="B37" s="526">
        <v>6</v>
      </c>
      <c r="C37" s="526" t="str">
        <f t="shared" ref="C37:Q37" si="6">C3</f>
        <v>E-110</v>
      </c>
      <c r="D37" s="526">
        <f t="shared" si="6"/>
        <v>0</v>
      </c>
      <c r="E37" s="526" t="str">
        <f t="shared" si="6"/>
        <v>39_To_42</v>
      </c>
      <c r="F37" s="526">
        <f t="shared" si="6"/>
        <v>-152.581270659719</v>
      </c>
      <c r="G37" s="526">
        <f t="shared" si="6"/>
        <v>0</v>
      </c>
      <c r="H37" s="526">
        <f t="shared" si="6"/>
        <v>35</v>
      </c>
      <c r="I37" s="526">
        <f t="shared" si="6"/>
        <v>1</v>
      </c>
      <c r="J37" s="526" t="str">
        <f t="shared" si="6"/>
        <v>5_To_10</v>
      </c>
      <c r="K37" s="526">
        <f t="shared" si="6"/>
        <v>1230</v>
      </c>
      <c r="L37" s="526">
        <f t="shared" si="6"/>
        <v>0</v>
      </c>
      <c r="M37" s="526">
        <f t="shared" si="6"/>
        <v>697.77413053579801</v>
      </c>
      <c r="N37" s="526" t="b">
        <f t="shared" si="6"/>
        <v>0</v>
      </c>
      <c r="O37" s="528">
        <f t="shared" si="6"/>
        <v>77245001.582805306</v>
      </c>
      <c r="P37" s="540">
        <f t="shared" si="6"/>
        <v>21.456944884112584</v>
      </c>
      <c r="Q37" s="528">
        <f t="shared" si="6"/>
        <v>2209.5049738268599</v>
      </c>
      <c r="R37" s="528"/>
      <c r="S37" s="528">
        <f>S3</f>
        <v>1195</v>
      </c>
      <c r="T37" s="528">
        <f>T3</f>
        <v>850.35540119551695</v>
      </c>
    </row>
    <row r="38" spans="1:26">
      <c r="B38" s="526">
        <v>7</v>
      </c>
      <c r="C38" s="526" t="str">
        <f t="shared" ref="C38:Q38" si="7">C5</f>
        <v>E-112</v>
      </c>
      <c r="D38" s="526">
        <f t="shared" si="7"/>
        <v>0</v>
      </c>
      <c r="E38" s="526" t="str">
        <f t="shared" si="7"/>
        <v>31_To_35</v>
      </c>
      <c r="F38" s="526">
        <f t="shared" si="7"/>
        <v>15</v>
      </c>
      <c r="G38" s="526">
        <f t="shared" si="7"/>
        <v>0</v>
      </c>
      <c r="H38" s="526">
        <f t="shared" si="7"/>
        <v>35</v>
      </c>
      <c r="I38" s="526">
        <f t="shared" si="7"/>
        <v>1</v>
      </c>
      <c r="J38" s="526" t="str">
        <f t="shared" si="7"/>
        <v>5_To_10</v>
      </c>
      <c r="K38" s="526">
        <f t="shared" si="7"/>
        <v>697.77413053579801</v>
      </c>
      <c r="L38" s="526">
        <f t="shared" si="7"/>
        <v>0</v>
      </c>
      <c r="M38" s="526">
        <f t="shared" si="7"/>
        <v>666.15607037386405</v>
      </c>
      <c r="N38" s="526" t="b">
        <f t="shared" si="7"/>
        <v>0</v>
      </c>
      <c r="O38" s="528">
        <f t="shared" si="7"/>
        <v>41005772.928975001</v>
      </c>
      <c r="P38" s="540">
        <f t="shared" si="7"/>
        <v>11.390492480270833</v>
      </c>
      <c r="Q38" s="528">
        <f t="shared" si="7"/>
        <v>524.36286141868902</v>
      </c>
      <c r="R38" s="528"/>
      <c r="S38" s="528">
        <f t="shared" ref="S38:T40" si="8">S5</f>
        <v>662.77413053579801</v>
      </c>
      <c r="T38" s="528">
        <f t="shared" si="8"/>
        <v>651.15607037386405</v>
      </c>
    </row>
    <row r="39" spans="1:26">
      <c r="B39" s="526">
        <v>8</v>
      </c>
      <c r="C39" s="526" t="str">
        <f t="shared" ref="C39:Q39" si="9">C6</f>
        <v>E-113</v>
      </c>
      <c r="D39" s="526">
        <f t="shared" si="9"/>
        <v>0</v>
      </c>
      <c r="E39" s="526" t="str">
        <f t="shared" si="9"/>
        <v>45_To_46</v>
      </c>
      <c r="F39" s="526">
        <f t="shared" si="9"/>
        <v>-124.977037</v>
      </c>
      <c r="G39" s="526">
        <f t="shared" si="9"/>
        <v>0</v>
      </c>
      <c r="H39" s="526">
        <f t="shared" si="9"/>
        <v>35</v>
      </c>
      <c r="I39" s="526">
        <f t="shared" si="9"/>
        <v>1</v>
      </c>
      <c r="J39" s="526" t="str">
        <f t="shared" si="9"/>
        <v>5_To_10</v>
      </c>
      <c r="K39" s="526">
        <f t="shared" si="9"/>
        <v>697.77413053579801</v>
      </c>
      <c r="L39" s="526">
        <f t="shared" si="9"/>
        <v>0</v>
      </c>
      <c r="M39" s="526">
        <f t="shared" si="9"/>
        <v>666.15607037386405</v>
      </c>
      <c r="N39" s="526" t="b">
        <f t="shared" si="9"/>
        <v>0</v>
      </c>
      <c r="O39" s="528">
        <f t="shared" si="9"/>
        <v>105911773.65742999</v>
      </c>
      <c r="P39" s="540">
        <f t="shared" si="9"/>
        <v>29.419937127063886</v>
      </c>
      <c r="Q39" s="528">
        <f t="shared" si="9"/>
        <v>1517.8128437673499</v>
      </c>
      <c r="R39" s="528"/>
      <c r="S39" s="528">
        <f t="shared" si="8"/>
        <v>662.77413053579801</v>
      </c>
      <c r="T39" s="528">
        <f t="shared" si="8"/>
        <v>791.13310737386405</v>
      </c>
    </row>
    <row r="40" spans="1:26">
      <c r="B40" s="526">
        <v>9</v>
      </c>
      <c r="C40" s="526" t="str">
        <f t="shared" ref="C40:Q40" si="10">C7</f>
        <v>E-114</v>
      </c>
      <c r="D40" s="526">
        <f t="shared" si="10"/>
        <v>0</v>
      </c>
      <c r="E40" s="526" t="str">
        <f t="shared" si="10"/>
        <v>31_To_35</v>
      </c>
      <c r="F40" s="526">
        <f t="shared" si="10"/>
        <v>1.6634649743511101</v>
      </c>
      <c r="G40" s="526">
        <f t="shared" si="10"/>
        <v>0</v>
      </c>
      <c r="H40" s="526">
        <f t="shared" si="10"/>
        <v>15</v>
      </c>
      <c r="I40" s="526">
        <f t="shared" si="10"/>
        <v>1</v>
      </c>
      <c r="J40" s="526" t="str">
        <f t="shared" si="10"/>
        <v>14_To_15</v>
      </c>
      <c r="K40" s="526">
        <f t="shared" si="10"/>
        <v>35</v>
      </c>
      <c r="L40" s="526">
        <f t="shared" si="10"/>
        <v>0</v>
      </c>
      <c r="M40" s="526">
        <f t="shared" si="10"/>
        <v>27.1146207730899</v>
      </c>
      <c r="N40" s="526">
        <f t="shared" si="10"/>
        <v>1</v>
      </c>
      <c r="O40" s="528">
        <f t="shared" si="10"/>
        <v>27343746.3460541</v>
      </c>
      <c r="P40" s="540">
        <f t="shared" si="10"/>
        <v>7.5954850961261391</v>
      </c>
      <c r="Q40" s="528">
        <f t="shared" si="10"/>
        <v>2627.5200166150298</v>
      </c>
      <c r="R40" s="528"/>
      <c r="S40" s="528">
        <f t="shared" si="8"/>
        <v>20</v>
      </c>
      <c r="T40" s="528">
        <f t="shared" si="8"/>
        <v>25.4511557987388</v>
      </c>
    </row>
    <row r="41" spans="1:26">
      <c r="B41" s="526">
        <v>10</v>
      </c>
      <c r="C41" s="526" t="str">
        <f t="shared" ref="C41:Q41" si="11">C9</f>
        <v>E-116</v>
      </c>
      <c r="D41" s="526">
        <f t="shared" si="11"/>
        <v>0</v>
      </c>
      <c r="E41" s="526" t="str">
        <f t="shared" si="11"/>
        <v>31_To_35</v>
      </c>
      <c r="F41" s="526">
        <f t="shared" si="11"/>
        <v>-119.473661440684</v>
      </c>
      <c r="G41" s="526">
        <f t="shared" si="11"/>
        <v>0</v>
      </c>
      <c r="H41" s="526">
        <f t="shared" si="11"/>
        <v>1.6634649743511101</v>
      </c>
      <c r="I41" s="526">
        <f t="shared" si="11"/>
        <v>1</v>
      </c>
      <c r="J41" s="526" t="str">
        <f t="shared" si="11"/>
        <v>5_To_10</v>
      </c>
      <c r="K41" s="526">
        <f t="shared" si="11"/>
        <v>95.001737323218407</v>
      </c>
      <c r="L41" s="526">
        <f t="shared" si="11"/>
        <v>0</v>
      </c>
      <c r="M41" s="526">
        <f t="shared" si="11"/>
        <v>30</v>
      </c>
      <c r="N41" s="526">
        <f t="shared" si="11"/>
        <v>1</v>
      </c>
      <c r="O41" s="528">
        <f t="shared" si="11"/>
        <v>248366074.95217401</v>
      </c>
      <c r="P41" s="540">
        <f t="shared" si="11"/>
        <v>68.990576375603894</v>
      </c>
      <c r="Q41" s="528">
        <f t="shared" si="11"/>
        <v>18828.978227570598</v>
      </c>
      <c r="R41" s="528"/>
      <c r="S41" s="528">
        <f t="shared" ref="S41:T45" si="12">S9</f>
        <v>93.338272348867307</v>
      </c>
      <c r="T41" s="528">
        <f t="shared" si="12"/>
        <v>149.473661440684</v>
      </c>
    </row>
    <row r="42" spans="1:26">
      <c r="B42" s="526">
        <v>11</v>
      </c>
      <c r="C42" s="526" t="str">
        <f t="shared" ref="C42:Q42" si="13">C10</f>
        <v>E-117</v>
      </c>
      <c r="D42" s="526">
        <f t="shared" si="13"/>
        <v>0</v>
      </c>
      <c r="E42" s="526" t="str">
        <f t="shared" si="13"/>
        <v>To Reboiler@T3_TO_28-C2C5</v>
      </c>
      <c r="F42" s="526">
        <f t="shared" si="13"/>
        <v>-87.391500579819294</v>
      </c>
      <c r="G42" s="526">
        <f t="shared" si="13"/>
        <v>0</v>
      </c>
      <c r="H42" s="526">
        <f t="shared" si="13"/>
        <v>-82.1809303</v>
      </c>
      <c r="I42" s="526" t="b">
        <f t="shared" si="13"/>
        <v>0</v>
      </c>
      <c r="J42" s="526" t="str">
        <f t="shared" si="13"/>
        <v>22_To_24</v>
      </c>
      <c r="K42" s="526">
        <f t="shared" si="13"/>
        <v>-60</v>
      </c>
      <c r="L42" s="526">
        <f t="shared" si="13"/>
        <v>0</v>
      </c>
      <c r="M42" s="526">
        <f t="shared" si="13"/>
        <v>-75.406231828833896</v>
      </c>
      <c r="N42" s="526">
        <f t="shared" si="13"/>
        <v>1</v>
      </c>
      <c r="O42" s="528">
        <f t="shared" si="13"/>
        <v>52482156.0346025</v>
      </c>
      <c r="P42" s="540">
        <f t="shared" si="13"/>
        <v>14.578376676278472</v>
      </c>
      <c r="Q42" s="528">
        <f t="shared" si="13"/>
        <v>3627.0798774176701</v>
      </c>
      <c r="R42" s="528"/>
      <c r="S42" s="528">
        <f t="shared" si="12"/>
        <v>22.1809303</v>
      </c>
      <c r="T42" s="528">
        <f t="shared" si="12"/>
        <v>11.9852687509853</v>
      </c>
    </row>
    <row r="43" spans="1:26">
      <c r="B43" s="526">
        <v>12</v>
      </c>
      <c r="C43" s="526" t="str">
        <f t="shared" ref="C43:Q43" si="14">C11</f>
        <v>E-118</v>
      </c>
      <c r="D43" s="526">
        <f t="shared" si="14"/>
        <v>0</v>
      </c>
      <c r="E43" s="526" t="str">
        <f t="shared" si="14"/>
        <v>31_To_35</v>
      </c>
      <c r="F43" s="526">
        <f t="shared" si="14"/>
        <v>-154.96704807668399</v>
      </c>
      <c r="G43" s="526">
        <f t="shared" si="14"/>
        <v>0</v>
      </c>
      <c r="H43" s="526">
        <f t="shared" si="14"/>
        <v>-119.473661440684</v>
      </c>
      <c r="I43" s="526">
        <f t="shared" si="14"/>
        <v>1</v>
      </c>
      <c r="J43" s="526" t="str">
        <f t="shared" si="14"/>
        <v>To Condenser@T3_TO_27-ETHYL</v>
      </c>
      <c r="K43" s="526">
        <f t="shared" si="14"/>
        <v>-104.12595326851</v>
      </c>
      <c r="L43" s="526">
        <f t="shared" si="14"/>
        <v>0</v>
      </c>
      <c r="M43" s="526">
        <f t="shared" si="14"/>
        <v>-104.193123216595</v>
      </c>
      <c r="N43" s="526">
        <f t="shared" si="14"/>
        <v>1</v>
      </c>
      <c r="O43" s="528">
        <f t="shared" si="14"/>
        <v>72771687.643806607</v>
      </c>
      <c r="P43" s="540">
        <f t="shared" si="14"/>
        <v>20.214357678835167</v>
      </c>
      <c r="Q43" s="528">
        <f t="shared" si="14"/>
        <v>2547.8667252461</v>
      </c>
      <c r="R43" s="528"/>
      <c r="S43" s="528">
        <f t="shared" si="12"/>
        <v>15.3477081721741</v>
      </c>
      <c r="T43" s="528">
        <f t="shared" si="12"/>
        <v>50.773924860088997</v>
      </c>
    </row>
    <row r="44" spans="1:26">
      <c r="B44" s="526">
        <v>13</v>
      </c>
      <c r="C44" s="526" t="str">
        <f t="shared" ref="C44:Q44" si="15">C12</f>
        <v>E-119</v>
      </c>
      <c r="D44" s="526">
        <f t="shared" si="15"/>
        <v>0</v>
      </c>
      <c r="E44" s="526" t="str">
        <f t="shared" si="15"/>
        <v>To Reboiler@T2_TO_26-C2+</v>
      </c>
      <c r="F44" s="526">
        <f t="shared" si="15"/>
        <v>-56.348231355268197</v>
      </c>
      <c r="G44" s="526">
        <f t="shared" si="15"/>
        <v>0</v>
      </c>
      <c r="H44" s="526">
        <f t="shared" si="15"/>
        <v>-51.280822899999997</v>
      </c>
      <c r="I44" s="526">
        <f t="shared" si="15"/>
        <v>1</v>
      </c>
      <c r="J44" s="526" t="str">
        <f t="shared" si="15"/>
        <v>17_To_18</v>
      </c>
      <c r="K44" s="526">
        <f t="shared" si="15"/>
        <v>20</v>
      </c>
      <c r="L44" s="526">
        <f t="shared" si="15"/>
        <v>0</v>
      </c>
      <c r="M44" s="526">
        <f t="shared" si="15"/>
        <v>-28.5670407777775</v>
      </c>
      <c r="N44" s="526">
        <f t="shared" si="15"/>
        <v>1</v>
      </c>
      <c r="O44" s="528">
        <f t="shared" si="15"/>
        <v>175386497.12285101</v>
      </c>
      <c r="P44" s="540">
        <f t="shared" si="15"/>
        <v>48.718471423014172</v>
      </c>
      <c r="Q44" s="528">
        <f t="shared" si="15"/>
        <v>3506.0192248901699</v>
      </c>
      <c r="R44" s="528"/>
      <c r="S44" s="528">
        <f t="shared" si="12"/>
        <v>71.280822900000004</v>
      </c>
      <c r="T44" s="528">
        <f t="shared" si="12"/>
        <v>27.781190577490701</v>
      </c>
    </row>
    <row r="45" spans="1:26">
      <c r="B45" s="526">
        <v>14</v>
      </c>
      <c r="C45" s="526" t="str">
        <f t="shared" ref="C45:Q45" si="16">C13</f>
        <v>E-120</v>
      </c>
      <c r="D45" s="526">
        <f t="shared" si="16"/>
        <v>0</v>
      </c>
      <c r="E45" s="526" t="str">
        <f t="shared" si="16"/>
        <v>To Reboiler@T3_TO_28-C2C5</v>
      </c>
      <c r="F45" s="526">
        <f t="shared" si="16"/>
        <v>-87.391500579819294</v>
      </c>
      <c r="G45" s="526">
        <f t="shared" si="16"/>
        <v>0</v>
      </c>
      <c r="H45" s="526">
        <f t="shared" si="16"/>
        <v>-82.1809303</v>
      </c>
      <c r="I45" s="526" t="b">
        <f t="shared" si="16"/>
        <v>0</v>
      </c>
      <c r="J45" s="526" t="str">
        <f t="shared" si="16"/>
        <v>V3_heat</v>
      </c>
      <c r="K45" s="526">
        <f t="shared" si="16"/>
        <v>-31.127413313612699</v>
      </c>
      <c r="L45" s="526">
        <f t="shared" si="16"/>
        <v>0</v>
      </c>
      <c r="M45" s="526">
        <f t="shared" si="16"/>
        <v>-44.433368986792701</v>
      </c>
      <c r="N45" s="526">
        <f t="shared" si="16"/>
        <v>1</v>
      </c>
      <c r="O45" s="528">
        <f t="shared" si="16"/>
        <v>45654055.863016203</v>
      </c>
      <c r="P45" s="540">
        <f t="shared" si="16"/>
        <v>12.681682184171168</v>
      </c>
      <c r="Q45" s="528">
        <f t="shared" si="16"/>
        <v>1544.74466950953</v>
      </c>
      <c r="R45" s="528"/>
      <c r="S45" s="528">
        <f t="shared" si="12"/>
        <v>51.053516986387301</v>
      </c>
      <c r="T45" s="528">
        <f t="shared" si="12"/>
        <v>42.9581315930266</v>
      </c>
    </row>
    <row r="46" spans="1:26">
      <c r="B46" s="526">
        <v>15</v>
      </c>
      <c r="C46" s="526" t="str">
        <f t="shared" ref="C46:Q46" si="17">C18</f>
        <v>E-125</v>
      </c>
      <c r="D46" s="526">
        <f t="shared" si="17"/>
        <v>0</v>
      </c>
      <c r="E46" s="526" t="str">
        <f t="shared" si="17"/>
        <v>31_To_35</v>
      </c>
      <c r="F46" s="526">
        <f t="shared" si="17"/>
        <v>-167</v>
      </c>
      <c r="G46" s="526">
        <f t="shared" si="17"/>
        <v>0</v>
      </c>
      <c r="H46" s="526">
        <f t="shared" si="17"/>
        <v>-154.96704807668399</v>
      </c>
      <c r="I46" s="526">
        <f t="shared" si="17"/>
        <v>1</v>
      </c>
      <c r="J46" s="526" t="str">
        <f t="shared" si="17"/>
        <v>14_To_15</v>
      </c>
      <c r="K46" s="526">
        <f t="shared" si="17"/>
        <v>27.1146207730899</v>
      </c>
      <c r="L46" s="526">
        <f t="shared" si="17"/>
        <v>0</v>
      </c>
      <c r="M46" s="526">
        <f t="shared" si="17"/>
        <v>20</v>
      </c>
      <c r="N46" s="526">
        <f t="shared" si="17"/>
        <v>1</v>
      </c>
      <c r="O46" s="528">
        <f t="shared" si="17"/>
        <v>24671024.711638</v>
      </c>
      <c r="P46" s="540">
        <f t="shared" si="17"/>
        <v>6.8530624198994445</v>
      </c>
      <c r="Q46" s="528">
        <f t="shared" si="17"/>
        <v>280.39568731181703</v>
      </c>
      <c r="R46" s="528"/>
      <c r="S46" s="528">
        <f>S18</f>
        <v>182.08166884977399</v>
      </c>
      <c r="T46" s="528">
        <f>T18</f>
        <v>187</v>
      </c>
    </row>
    <row r="47" spans="1:26">
      <c r="B47" s="526">
        <v>16</v>
      </c>
      <c r="C47" s="526" t="str">
        <f t="shared" ref="C47:Q47" si="18">C23</f>
        <v>E-130</v>
      </c>
      <c r="D47" s="526">
        <f t="shared" si="18"/>
        <v>0</v>
      </c>
      <c r="E47" s="526" t="str">
        <f t="shared" si="18"/>
        <v>To Reboiler@T3_TO_28-C2C5</v>
      </c>
      <c r="F47" s="526">
        <f t="shared" si="18"/>
        <v>-88.318584536369499</v>
      </c>
      <c r="G47" s="526">
        <f t="shared" si="18"/>
        <v>0</v>
      </c>
      <c r="H47" s="526">
        <f t="shared" si="18"/>
        <v>-87.391500579819294</v>
      </c>
      <c r="I47" s="526" t="b">
        <f t="shared" si="18"/>
        <v>0</v>
      </c>
      <c r="J47" s="526" t="str">
        <f t="shared" si="18"/>
        <v>17_To_18</v>
      </c>
      <c r="K47" s="526">
        <f t="shared" si="18"/>
        <v>-28.5670407777775</v>
      </c>
      <c r="L47" s="526">
        <f t="shared" si="18"/>
        <v>0</v>
      </c>
      <c r="M47" s="526">
        <f t="shared" si="18"/>
        <v>-31.141817199999998</v>
      </c>
      <c r="N47" s="526">
        <f t="shared" si="18"/>
        <v>1</v>
      </c>
      <c r="O47" s="528">
        <f t="shared" si="18"/>
        <v>9298096.2054976299</v>
      </c>
      <c r="P47" s="540">
        <f t="shared" si="18"/>
        <v>2.5828045015271193</v>
      </c>
      <c r="Q47" s="528">
        <f t="shared" si="18"/>
        <v>135.925467114605</v>
      </c>
      <c r="R47" s="528"/>
      <c r="S47" s="528">
        <f t="shared" ref="S47:T49" si="19">S23</f>
        <v>58.824459802041702</v>
      </c>
      <c r="T47" s="528">
        <f t="shared" si="19"/>
        <v>57.176767336369601</v>
      </c>
    </row>
    <row r="48" spans="1:26">
      <c r="B48" s="526">
        <v>17</v>
      </c>
      <c r="C48" s="526" t="str">
        <f t="shared" ref="C48:Q48" si="20">C24</f>
        <v>E-131</v>
      </c>
      <c r="D48" s="526">
        <f t="shared" si="20"/>
        <v>0</v>
      </c>
      <c r="E48" s="526" t="str">
        <f t="shared" si="20"/>
        <v>39_To_42</v>
      </c>
      <c r="F48" s="526">
        <f t="shared" si="20"/>
        <v>-169.27893900000001</v>
      </c>
      <c r="G48" s="526">
        <f t="shared" si="20"/>
        <v>0</v>
      </c>
      <c r="H48" s="526">
        <f t="shared" si="20"/>
        <v>-152.581270659719</v>
      </c>
      <c r="I48" s="526">
        <f t="shared" si="20"/>
        <v>1</v>
      </c>
      <c r="J48" s="526" t="str">
        <f t="shared" si="20"/>
        <v>To Condenser@T3_TO_27-ETHYL</v>
      </c>
      <c r="K48" s="526">
        <f t="shared" si="20"/>
        <v>-104.193123216595</v>
      </c>
      <c r="L48" s="526">
        <f t="shared" si="20"/>
        <v>0</v>
      </c>
      <c r="M48" s="526">
        <f t="shared" si="20"/>
        <v>-106.017233</v>
      </c>
      <c r="N48" s="526">
        <f t="shared" si="20"/>
        <v>1</v>
      </c>
      <c r="O48" s="528">
        <f t="shared" si="20"/>
        <v>103159142.90264</v>
      </c>
      <c r="P48" s="540">
        <f t="shared" si="20"/>
        <v>28.655317472955556</v>
      </c>
      <c r="Q48" s="528">
        <f t="shared" si="20"/>
        <v>296.12329007772797</v>
      </c>
      <c r="R48" s="528"/>
      <c r="S48" s="528">
        <f t="shared" si="19"/>
        <v>48.388147443124097</v>
      </c>
      <c r="T48" s="528">
        <f t="shared" si="19"/>
        <v>63.261705999999997</v>
      </c>
    </row>
    <row r="49" spans="1:20">
      <c r="B49" s="526">
        <v>18</v>
      </c>
      <c r="C49" s="526" t="str">
        <f t="shared" ref="C49:Q49" si="21">C25</f>
        <v>E-132</v>
      </c>
      <c r="D49" s="526">
        <f t="shared" si="21"/>
        <v>0</v>
      </c>
      <c r="E49" s="526" t="str">
        <f t="shared" si="21"/>
        <v>To Reboiler@T3_TO_28-C2C5</v>
      </c>
      <c r="F49" s="526">
        <f t="shared" si="21"/>
        <v>-88.318584536369499</v>
      </c>
      <c r="G49" s="526">
        <f t="shared" si="21"/>
        <v>0</v>
      </c>
      <c r="H49" s="526">
        <f t="shared" si="21"/>
        <v>-87.391500579819294</v>
      </c>
      <c r="I49" s="526" t="b">
        <f t="shared" si="21"/>
        <v>0</v>
      </c>
      <c r="J49" s="526" t="str">
        <f t="shared" si="21"/>
        <v>V3_heat</v>
      </c>
      <c r="K49" s="526">
        <f t="shared" si="21"/>
        <v>-44.433368986792701</v>
      </c>
      <c r="L49" s="526">
        <f t="shared" si="21"/>
        <v>0</v>
      </c>
      <c r="M49" s="526">
        <f t="shared" si="21"/>
        <v>-60</v>
      </c>
      <c r="N49" s="526">
        <f t="shared" si="21"/>
        <v>1</v>
      </c>
      <c r="O49" s="528">
        <f t="shared" si="21"/>
        <v>53410657.5530238</v>
      </c>
      <c r="P49" s="540">
        <f t="shared" si="21"/>
        <v>14.836293764728833</v>
      </c>
      <c r="Q49" s="528">
        <f t="shared" si="21"/>
        <v>2179.8081586858202</v>
      </c>
      <c r="R49" s="528"/>
      <c r="S49" s="528">
        <f t="shared" si="19"/>
        <v>42.9581315930266</v>
      </c>
      <c r="T49" s="528">
        <f t="shared" si="19"/>
        <v>28.318584536369499</v>
      </c>
    </row>
    <row r="52" spans="1:20">
      <c r="A52" s="539" t="s">
        <v>1003</v>
      </c>
      <c r="C52" s="527" t="s">
        <v>947</v>
      </c>
      <c r="D52" s="527"/>
      <c r="E52" s="527" t="s">
        <v>948</v>
      </c>
      <c r="F52" s="527" t="s">
        <v>949</v>
      </c>
      <c r="G52" s="527"/>
      <c r="H52" s="527" t="s">
        <v>950</v>
      </c>
      <c r="I52" s="527"/>
      <c r="J52" s="527" t="s">
        <v>951</v>
      </c>
      <c r="K52" s="527" t="s">
        <v>952</v>
      </c>
      <c r="L52" s="527"/>
      <c r="M52" s="527" t="s">
        <v>953</v>
      </c>
      <c r="N52" s="527"/>
      <c r="O52" s="527" t="s">
        <v>954</v>
      </c>
      <c r="P52" s="527" t="s">
        <v>955</v>
      </c>
      <c r="Q52" s="527" t="s">
        <v>956</v>
      </c>
    </row>
    <row r="53" spans="1:20">
      <c r="A53" s="526" t="s">
        <v>1004</v>
      </c>
      <c r="B53" s="526">
        <v>1</v>
      </c>
      <c r="C53" s="526" t="str">
        <f t="shared" ref="C53:T53" si="22">C3</f>
        <v>E-110</v>
      </c>
      <c r="D53" s="526">
        <f t="shared" si="22"/>
        <v>0</v>
      </c>
      <c r="E53" s="526" t="str">
        <f t="shared" si="22"/>
        <v>39_To_42</v>
      </c>
      <c r="F53" s="526">
        <f t="shared" si="22"/>
        <v>-152.581270659719</v>
      </c>
      <c r="G53" s="526">
        <f t="shared" si="22"/>
        <v>0</v>
      </c>
      <c r="H53" s="526">
        <f t="shared" si="22"/>
        <v>35</v>
      </c>
      <c r="I53" s="526">
        <f t="shared" si="22"/>
        <v>1</v>
      </c>
      <c r="J53" s="526" t="str">
        <f t="shared" si="22"/>
        <v>5_To_10</v>
      </c>
      <c r="K53" s="526">
        <f t="shared" si="22"/>
        <v>1230</v>
      </c>
      <c r="L53" s="526">
        <f t="shared" si="22"/>
        <v>0</v>
      </c>
      <c r="M53" s="526">
        <f t="shared" si="22"/>
        <v>697.77413053579801</v>
      </c>
      <c r="N53" s="526" t="b">
        <f t="shared" si="22"/>
        <v>0</v>
      </c>
      <c r="O53" s="526">
        <f t="shared" si="22"/>
        <v>77245001.582805306</v>
      </c>
      <c r="P53" s="540">
        <f t="shared" si="22"/>
        <v>21.456944884112584</v>
      </c>
      <c r="Q53" s="528">
        <f t="shared" si="22"/>
        <v>2209.5049738268599</v>
      </c>
      <c r="R53" s="526">
        <f t="shared" si="22"/>
        <v>0</v>
      </c>
      <c r="S53" s="526">
        <f t="shared" si="22"/>
        <v>1195</v>
      </c>
      <c r="T53" s="526">
        <f t="shared" si="22"/>
        <v>850.35540119551695</v>
      </c>
    </row>
    <row r="54" spans="1:20">
      <c r="B54" s="526">
        <v>2</v>
      </c>
      <c r="C54" s="526" t="str">
        <f t="shared" ref="C54:T54" si="23">C4</f>
        <v>E-111</v>
      </c>
      <c r="D54" s="526">
        <f t="shared" si="23"/>
        <v>0</v>
      </c>
      <c r="E54" s="526" t="str">
        <f t="shared" si="23"/>
        <v>3_To_4</v>
      </c>
      <c r="F54" s="526">
        <f t="shared" si="23"/>
        <v>33.115670399999999</v>
      </c>
      <c r="G54" s="526">
        <f t="shared" si="23"/>
        <v>0</v>
      </c>
      <c r="H54" s="526">
        <f t="shared" si="23"/>
        <v>708.070381</v>
      </c>
      <c r="I54" s="526">
        <f t="shared" si="23"/>
        <v>1</v>
      </c>
      <c r="J54" s="526" t="str">
        <f t="shared" si="23"/>
        <v>5_To_10</v>
      </c>
      <c r="K54" s="526">
        <f t="shared" si="23"/>
        <v>1230</v>
      </c>
      <c r="L54" s="526">
        <f t="shared" si="23"/>
        <v>0</v>
      </c>
      <c r="M54" s="526">
        <f t="shared" si="23"/>
        <v>697.77413053579801</v>
      </c>
      <c r="N54" s="526" t="b">
        <f t="shared" si="23"/>
        <v>0</v>
      </c>
      <c r="O54" s="526">
        <f t="shared" si="23"/>
        <v>2715390748.7486601</v>
      </c>
      <c r="P54" s="540">
        <f t="shared" si="23"/>
        <v>754.27520798573892</v>
      </c>
      <c r="Q54" s="528">
        <f t="shared" si="23"/>
        <v>231868.91329458001</v>
      </c>
      <c r="R54" s="526">
        <f t="shared" si="23"/>
        <v>0</v>
      </c>
      <c r="S54" s="526">
        <f t="shared" si="23"/>
        <v>521.929619</v>
      </c>
      <c r="T54" s="526">
        <f t="shared" si="23"/>
        <v>664.65846013579801</v>
      </c>
    </row>
    <row r="55" spans="1:20">
      <c r="B55" s="526">
        <v>3</v>
      </c>
      <c r="C55" s="526" t="str">
        <f t="shared" ref="C55:T55" si="24">C5</f>
        <v>E-112</v>
      </c>
      <c r="D55" s="526">
        <f t="shared" si="24"/>
        <v>0</v>
      </c>
      <c r="E55" s="526" t="str">
        <f t="shared" si="24"/>
        <v>31_To_35</v>
      </c>
      <c r="F55" s="526">
        <f t="shared" si="24"/>
        <v>15</v>
      </c>
      <c r="G55" s="526">
        <f t="shared" si="24"/>
        <v>0</v>
      </c>
      <c r="H55" s="526">
        <f t="shared" si="24"/>
        <v>35</v>
      </c>
      <c r="I55" s="526">
        <f t="shared" si="24"/>
        <v>1</v>
      </c>
      <c r="J55" s="526" t="str">
        <f t="shared" si="24"/>
        <v>5_To_10</v>
      </c>
      <c r="K55" s="526">
        <f t="shared" si="24"/>
        <v>697.77413053579801</v>
      </c>
      <c r="L55" s="526">
        <f t="shared" si="24"/>
        <v>0</v>
      </c>
      <c r="M55" s="526">
        <f t="shared" si="24"/>
        <v>666.15607037386405</v>
      </c>
      <c r="N55" s="526" t="b">
        <f t="shared" si="24"/>
        <v>0</v>
      </c>
      <c r="O55" s="526">
        <f t="shared" si="24"/>
        <v>41005772.928975001</v>
      </c>
      <c r="P55" s="540">
        <f t="shared" si="24"/>
        <v>11.390492480270833</v>
      </c>
      <c r="Q55" s="528">
        <f t="shared" si="24"/>
        <v>524.36286141868902</v>
      </c>
      <c r="R55" s="526">
        <f t="shared" si="24"/>
        <v>0</v>
      </c>
      <c r="S55" s="526">
        <f t="shared" si="24"/>
        <v>662.77413053579801</v>
      </c>
      <c r="T55" s="526">
        <f t="shared" si="24"/>
        <v>651.15607037386405</v>
      </c>
    </row>
    <row r="56" spans="1:20">
      <c r="B56" s="526">
        <v>4</v>
      </c>
      <c r="C56" s="526" t="str">
        <f t="shared" ref="C56:T56" si="25">C6</f>
        <v>E-113</v>
      </c>
      <c r="D56" s="526">
        <f t="shared" si="25"/>
        <v>0</v>
      </c>
      <c r="E56" s="526" t="str">
        <f t="shared" si="25"/>
        <v>45_To_46</v>
      </c>
      <c r="F56" s="526">
        <f t="shared" si="25"/>
        <v>-124.977037</v>
      </c>
      <c r="G56" s="526">
        <f t="shared" si="25"/>
        <v>0</v>
      </c>
      <c r="H56" s="526">
        <f t="shared" si="25"/>
        <v>35</v>
      </c>
      <c r="I56" s="526">
        <f t="shared" si="25"/>
        <v>1</v>
      </c>
      <c r="J56" s="526" t="str">
        <f t="shared" si="25"/>
        <v>5_To_10</v>
      </c>
      <c r="K56" s="526">
        <f t="shared" si="25"/>
        <v>697.77413053579801</v>
      </c>
      <c r="L56" s="526">
        <f t="shared" si="25"/>
        <v>0</v>
      </c>
      <c r="M56" s="526">
        <f t="shared" si="25"/>
        <v>666.15607037386405</v>
      </c>
      <c r="N56" s="526" t="b">
        <f t="shared" si="25"/>
        <v>0</v>
      </c>
      <c r="O56" s="526">
        <f t="shared" si="25"/>
        <v>105911773.65742999</v>
      </c>
      <c r="P56" s="540">
        <f t="shared" si="25"/>
        <v>29.419937127063886</v>
      </c>
      <c r="Q56" s="528">
        <f t="shared" si="25"/>
        <v>1517.8128437673499</v>
      </c>
      <c r="R56" s="526">
        <f t="shared" si="25"/>
        <v>0</v>
      </c>
      <c r="S56" s="526">
        <f t="shared" si="25"/>
        <v>662.77413053579801</v>
      </c>
      <c r="T56" s="526">
        <f t="shared" si="25"/>
        <v>791.13310737386405</v>
      </c>
    </row>
    <row r="57" spans="1:20">
      <c r="B57" s="531">
        <v>5</v>
      </c>
      <c r="C57" s="531" t="str">
        <f t="shared" ref="C57:T57" si="26">C8</f>
        <v>E-115</v>
      </c>
      <c r="D57" s="531">
        <f t="shared" si="26"/>
        <v>0</v>
      </c>
      <c r="E57" s="531" t="str">
        <f t="shared" si="26"/>
        <v>CW</v>
      </c>
      <c r="F57" s="531">
        <f t="shared" si="26"/>
        <v>20</v>
      </c>
      <c r="G57" s="531">
        <f t="shared" si="26"/>
        <v>0</v>
      </c>
      <c r="H57" s="531">
        <f t="shared" si="26"/>
        <v>25</v>
      </c>
      <c r="I57" s="531" t="b">
        <f t="shared" si="26"/>
        <v>0</v>
      </c>
      <c r="J57" s="531" t="str">
        <f t="shared" si="26"/>
        <v>5_To_10</v>
      </c>
      <c r="K57" s="531">
        <f t="shared" si="26"/>
        <v>666.15607037386405</v>
      </c>
      <c r="L57" s="531">
        <f t="shared" si="26"/>
        <v>0</v>
      </c>
      <c r="M57" s="531">
        <f t="shared" si="26"/>
        <v>95.001737323218407</v>
      </c>
      <c r="N57" s="531">
        <f t="shared" si="26"/>
        <v>1</v>
      </c>
      <c r="O57" s="531">
        <f t="shared" si="26"/>
        <v>2391974034.50247</v>
      </c>
      <c r="P57" s="542">
        <f t="shared" si="26"/>
        <v>664.4372318062417</v>
      </c>
      <c r="Q57" s="532">
        <f t="shared" si="26"/>
        <v>63656.534207650002</v>
      </c>
      <c r="R57" s="531">
        <f t="shared" si="26"/>
        <v>0</v>
      </c>
      <c r="S57" s="531">
        <f t="shared" si="26"/>
        <v>641.15607037386405</v>
      </c>
      <c r="T57" s="531">
        <f t="shared" si="26"/>
        <v>75.001737323218407</v>
      </c>
    </row>
    <row r="58" spans="1:20">
      <c r="B58" s="526">
        <v>6</v>
      </c>
      <c r="C58" s="526" t="str">
        <f t="shared" ref="C58:T58" si="27">C9</f>
        <v>E-116</v>
      </c>
      <c r="D58" s="526">
        <f t="shared" si="27"/>
        <v>0</v>
      </c>
      <c r="E58" s="526" t="str">
        <f t="shared" si="27"/>
        <v>31_To_35</v>
      </c>
      <c r="F58" s="526">
        <f t="shared" si="27"/>
        <v>-119.473661440684</v>
      </c>
      <c r="G58" s="526">
        <f t="shared" si="27"/>
        <v>0</v>
      </c>
      <c r="H58" s="526">
        <f t="shared" si="27"/>
        <v>1.6634649743511101</v>
      </c>
      <c r="I58" s="526">
        <f t="shared" si="27"/>
        <v>1</v>
      </c>
      <c r="J58" s="526" t="str">
        <f t="shared" si="27"/>
        <v>5_To_10</v>
      </c>
      <c r="K58" s="526">
        <f t="shared" si="27"/>
        <v>95.001737323218407</v>
      </c>
      <c r="L58" s="526">
        <f t="shared" si="27"/>
        <v>0</v>
      </c>
      <c r="M58" s="526">
        <f t="shared" si="27"/>
        <v>30</v>
      </c>
      <c r="N58" s="526">
        <f t="shared" si="27"/>
        <v>1</v>
      </c>
      <c r="O58" s="526">
        <f t="shared" si="27"/>
        <v>248366074.95217401</v>
      </c>
      <c r="P58" s="540">
        <f t="shared" si="27"/>
        <v>68.990576375603894</v>
      </c>
      <c r="Q58" s="528">
        <f t="shared" si="27"/>
        <v>18828.978227570598</v>
      </c>
      <c r="R58" s="526">
        <f t="shared" si="27"/>
        <v>0</v>
      </c>
      <c r="S58" s="526">
        <f t="shared" si="27"/>
        <v>93.338272348867307</v>
      </c>
      <c r="T58" s="526">
        <f t="shared" si="27"/>
        <v>149.473661440684</v>
      </c>
    </row>
    <row r="59" spans="1:20">
      <c r="P59" s="540"/>
      <c r="Q59" s="528"/>
    </row>
    <row r="60" spans="1:20">
      <c r="A60" s="526" t="s">
        <v>1007</v>
      </c>
      <c r="B60" s="526">
        <v>7</v>
      </c>
      <c r="C60" s="526" t="str">
        <f t="shared" ref="C60:T60" si="28">C7</f>
        <v>E-114</v>
      </c>
      <c r="D60" s="526">
        <f t="shared" si="28"/>
        <v>0</v>
      </c>
      <c r="E60" s="526" t="str">
        <f t="shared" si="28"/>
        <v>31_To_35</v>
      </c>
      <c r="F60" s="526">
        <f t="shared" si="28"/>
        <v>1.6634649743511101</v>
      </c>
      <c r="G60" s="526">
        <f t="shared" si="28"/>
        <v>0</v>
      </c>
      <c r="H60" s="526">
        <f t="shared" si="28"/>
        <v>15</v>
      </c>
      <c r="I60" s="526">
        <f t="shared" si="28"/>
        <v>1</v>
      </c>
      <c r="J60" s="526" t="str">
        <f t="shared" si="28"/>
        <v>14_To_15</v>
      </c>
      <c r="K60" s="526">
        <f t="shared" si="28"/>
        <v>35</v>
      </c>
      <c r="L60" s="526">
        <f t="shared" si="28"/>
        <v>0</v>
      </c>
      <c r="M60" s="526">
        <f t="shared" si="28"/>
        <v>27.1146207730899</v>
      </c>
      <c r="N60" s="526">
        <f t="shared" si="28"/>
        <v>1</v>
      </c>
      <c r="O60" s="526">
        <f t="shared" si="28"/>
        <v>27343746.3460541</v>
      </c>
      <c r="P60" s="540">
        <f t="shared" si="28"/>
        <v>7.5954850961261391</v>
      </c>
      <c r="Q60" s="528">
        <f t="shared" si="28"/>
        <v>2627.5200166150298</v>
      </c>
      <c r="R60" s="526">
        <f t="shared" si="28"/>
        <v>0</v>
      </c>
      <c r="S60" s="526">
        <f t="shared" si="28"/>
        <v>20</v>
      </c>
      <c r="T60" s="526">
        <f t="shared" si="28"/>
        <v>25.4511557987388</v>
      </c>
    </row>
    <row r="61" spans="1:20">
      <c r="B61" s="526">
        <v>8</v>
      </c>
      <c r="C61" s="526" t="str">
        <f t="shared" ref="C61:T61" si="29">C10</f>
        <v>E-117</v>
      </c>
      <c r="D61" s="526">
        <f t="shared" si="29"/>
        <v>0</v>
      </c>
      <c r="E61" s="526" t="str">
        <f t="shared" si="29"/>
        <v>To Reboiler@T3_TO_28-C2C5</v>
      </c>
      <c r="F61" s="526">
        <f t="shared" si="29"/>
        <v>-87.391500579819294</v>
      </c>
      <c r="G61" s="526">
        <f t="shared" si="29"/>
        <v>0</v>
      </c>
      <c r="H61" s="526">
        <f t="shared" si="29"/>
        <v>-82.1809303</v>
      </c>
      <c r="I61" s="526" t="b">
        <f t="shared" si="29"/>
        <v>0</v>
      </c>
      <c r="J61" s="526" t="str">
        <f t="shared" si="29"/>
        <v>22_To_24</v>
      </c>
      <c r="K61" s="526">
        <f t="shared" si="29"/>
        <v>-60</v>
      </c>
      <c r="L61" s="526">
        <f t="shared" si="29"/>
        <v>0</v>
      </c>
      <c r="M61" s="526">
        <f t="shared" si="29"/>
        <v>-75.406231828833896</v>
      </c>
      <c r="N61" s="526">
        <f t="shared" si="29"/>
        <v>1</v>
      </c>
      <c r="O61" s="526">
        <f t="shared" si="29"/>
        <v>52482156.0346025</v>
      </c>
      <c r="P61" s="540">
        <f t="shared" si="29"/>
        <v>14.578376676278472</v>
      </c>
      <c r="Q61" s="528">
        <f t="shared" si="29"/>
        <v>3627.0798774176701</v>
      </c>
      <c r="R61" s="526">
        <f t="shared" si="29"/>
        <v>0</v>
      </c>
      <c r="S61" s="526">
        <f t="shared" si="29"/>
        <v>22.1809303</v>
      </c>
      <c r="T61" s="526">
        <f t="shared" si="29"/>
        <v>11.9852687509853</v>
      </c>
    </row>
    <row r="62" spans="1:20">
      <c r="B62" s="526">
        <v>9</v>
      </c>
      <c r="C62" s="526" t="str">
        <f t="shared" ref="C62:T62" si="30">C12</f>
        <v>E-119</v>
      </c>
      <c r="D62" s="526">
        <f t="shared" si="30"/>
        <v>0</v>
      </c>
      <c r="E62" s="526" t="str">
        <f t="shared" si="30"/>
        <v>To Reboiler@T2_TO_26-C2+</v>
      </c>
      <c r="F62" s="526">
        <f t="shared" si="30"/>
        <v>-56.348231355268197</v>
      </c>
      <c r="G62" s="526">
        <f t="shared" si="30"/>
        <v>0</v>
      </c>
      <c r="H62" s="526">
        <f t="shared" si="30"/>
        <v>-51.280822899999997</v>
      </c>
      <c r="I62" s="526">
        <f t="shared" si="30"/>
        <v>1</v>
      </c>
      <c r="J62" s="526" t="str">
        <f t="shared" si="30"/>
        <v>17_To_18</v>
      </c>
      <c r="K62" s="526">
        <f t="shared" si="30"/>
        <v>20</v>
      </c>
      <c r="L62" s="526">
        <f t="shared" si="30"/>
        <v>0</v>
      </c>
      <c r="M62" s="526">
        <f t="shared" si="30"/>
        <v>-28.5670407777775</v>
      </c>
      <c r="N62" s="526">
        <f t="shared" si="30"/>
        <v>1</v>
      </c>
      <c r="O62" s="526">
        <f t="shared" si="30"/>
        <v>175386497.12285101</v>
      </c>
      <c r="P62" s="540">
        <f t="shared" si="30"/>
        <v>48.718471423014172</v>
      </c>
      <c r="Q62" s="528">
        <f t="shared" si="30"/>
        <v>3506.0192248901699</v>
      </c>
      <c r="R62" s="526">
        <f t="shared" si="30"/>
        <v>0</v>
      </c>
      <c r="S62" s="526">
        <f t="shared" si="30"/>
        <v>71.280822900000004</v>
      </c>
      <c r="T62" s="526">
        <f t="shared" si="30"/>
        <v>27.781190577490701</v>
      </c>
    </row>
    <row r="63" spans="1:20">
      <c r="B63" s="526">
        <v>10</v>
      </c>
      <c r="C63" s="526" t="str">
        <f t="shared" ref="C63:T63" si="31">C13</f>
        <v>E-120</v>
      </c>
      <c r="D63" s="526">
        <f t="shared" si="31"/>
        <v>0</v>
      </c>
      <c r="E63" s="526" t="str">
        <f t="shared" si="31"/>
        <v>To Reboiler@T3_TO_28-C2C5</v>
      </c>
      <c r="F63" s="526">
        <f t="shared" si="31"/>
        <v>-87.391500579819294</v>
      </c>
      <c r="G63" s="526">
        <f t="shared" si="31"/>
        <v>0</v>
      </c>
      <c r="H63" s="526">
        <f t="shared" si="31"/>
        <v>-82.1809303</v>
      </c>
      <c r="I63" s="526" t="b">
        <f t="shared" si="31"/>
        <v>0</v>
      </c>
      <c r="J63" s="526" t="str">
        <f t="shared" si="31"/>
        <v>V3_heat</v>
      </c>
      <c r="K63" s="526">
        <f t="shared" si="31"/>
        <v>-31.127413313612699</v>
      </c>
      <c r="L63" s="526">
        <f t="shared" si="31"/>
        <v>0</v>
      </c>
      <c r="M63" s="526">
        <f t="shared" si="31"/>
        <v>-44.433368986792701</v>
      </c>
      <c r="N63" s="526">
        <f t="shared" si="31"/>
        <v>1</v>
      </c>
      <c r="O63" s="526">
        <f t="shared" si="31"/>
        <v>45654055.863016203</v>
      </c>
      <c r="P63" s="540">
        <f t="shared" si="31"/>
        <v>12.681682184171168</v>
      </c>
      <c r="Q63" s="528">
        <f t="shared" si="31"/>
        <v>1544.74466950953</v>
      </c>
      <c r="R63" s="526">
        <f t="shared" si="31"/>
        <v>0</v>
      </c>
      <c r="S63" s="526">
        <f t="shared" si="31"/>
        <v>51.053516986387301</v>
      </c>
      <c r="T63" s="526">
        <f t="shared" si="31"/>
        <v>42.9581315930266</v>
      </c>
    </row>
    <row r="64" spans="1:20">
      <c r="B64" s="531">
        <v>11</v>
      </c>
      <c r="C64" s="531" t="str">
        <f t="shared" ref="C64:T64" si="32">C15</f>
        <v>E-122</v>
      </c>
      <c r="D64" s="531">
        <f t="shared" si="32"/>
        <v>0</v>
      </c>
      <c r="E64" s="531" t="str">
        <f t="shared" si="32"/>
        <v>CRYOTEMP</v>
      </c>
      <c r="F64" s="531">
        <f t="shared" si="32"/>
        <v>-269.24253056437402</v>
      </c>
      <c r="G64" s="531">
        <f t="shared" si="32"/>
        <v>0</v>
      </c>
      <c r="H64" s="531">
        <f t="shared" si="32"/>
        <v>-269</v>
      </c>
      <c r="I64" s="531" t="b">
        <f t="shared" si="32"/>
        <v>0</v>
      </c>
      <c r="J64" s="531" t="str">
        <f t="shared" si="32"/>
        <v>To Condenser@T1_TO_21</v>
      </c>
      <c r="K64" s="531">
        <f t="shared" si="32"/>
        <v>38.387636965150499</v>
      </c>
      <c r="L64" s="531">
        <f t="shared" si="32"/>
        <v>0</v>
      </c>
      <c r="M64" s="531">
        <f t="shared" si="32"/>
        <v>0.89491272300000402</v>
      </c>
      <c r="N64" s="531">
        <f t="shared" si="32"/>
        <v>1</v>
      </c>
      <c r="O64" s="531">
        <f t="shared" si="32"/>
        <v>323821.28429353499</v>
      </c>
      <c r="P64" s="542">
        <f t="shared" si="32"/>
        <v>8.995035674820416E-2</v>
      </c>
      <c r="Q64" s="532">
        <f t="shared" si="32"/>
        <v>1.0619544203459499</v>
      </c>
      <c r="R64" s="531">
        <f t="shared" si="32"/>
        <v>0</v>
      </c>
      <c r="S64" s="531">
        <f t="shared" si="32"/>
        <v>307.38763696515002</v>
      </c>
      <c r="T64" s="531">
        <f t="shared" si="32"/>
        <v>270.13744328737403</v>
      </c>
    </row>
    <row r="65" spans="1:20">
      <c r="B65" s="531">
        <v>12</v>
      </c>
      <c r="C65" s="531" t="str">
        <f t="shared" ref="C65:T65" si="33">C16</f>
        <v>E-123</v>
      </c>
      <c r="D65" s="531">
        <f t="shared" si="33"/>
        <v>0</v>
      </c>
      <c r="E65" s="531" t="str">
        <f t="shared" si="33"/>
        <v>CRYOTEMP</v>
      </c>
      <c r="F65" s="531">
        <f t="shared" si="33"/>
        <v>-269.24253056437402</v>
      </c>
      <c r="G65" s="531">
        <f t="shared" si="33"/>
        <v>0</v>
      </c>
      <c r="H65" s="531">
        <f t="shared" si="33"/>
        <v>-269</v>
      </c>
      <c r="I65" s="531" t="b">
        <f t="shared" si="33"/>
        <v>0</v>
      </c>
      <c r="J65" s="531" t="str">
        <f t="shared" si="33"/>
        <v>To Condenser@T2_TO_45Duplicate</v>
      </c>
      <c r="K65" s="531">
        <f t="shared" si="33"/>
        <v>-124.73483866141299</v>
      </c>
      <c r="L65" s="531">
        <f t="shared" si="33"/>
        <v>0</v>
      </c>
      <c r="M65" s="531">
        <f t="shared" si="33"/>
        <v>-124.977037</v>
      </c>
      <c r="N65" s="531">
        <f t="shared" si="33"/>
        <v>1</v>
      </c>
      <c r="O65" s="531">
        <f t="shared" si="33"/>
        <v>18896308.556804899</v>
      </c>
      <c r="P65" s="542">
        <f t="shared" si="33"/>
        <v>5.2489745991124721</v>
      </c>
      <c r="Q65" s="532">
        <f t="shared" si="33"/>
        <v>67.1312859577083</v>
      </c>
      <c r="R65" s="531">
        <f t="shared" si="33"/>
        <v>0</v>
      </c>
      <c r="S65" s="531">
        <f t="shared" si="33"/>
        <v>144.26516133858701</v>
      </c>
      <c r="T65" s="531">
        <f t="shared" si="33"/>
        <v>144.265493564374</v>
      </c>
    </row>
    <row r="66" spans="1:20">
      <c r="B66" s="526">
        <v>13</v>
      </c>
      <c r="C66" s="526" t="str">
        <f t="shared" ref="C66:T66" si="34">C18</f>
        <v>E-125</v>
      </c>
      <c r="D66" s="526">
        <f t="shared" si="34"/>
        <v>0</v>
      </c>
      <c r="E66" s="526" t="str">
        <f t="shared" si="34"/>
        <v>31_To_35</v>
      </c>
      <c r="F66" s="526">
        <f t="shared" si="34"/>
        <v>-167</v>
      </c>
      <c r="G66" s="526">
        <f t="shared" si="34"/>
        <v>0</v>
      </c>
      <c r="H66" s="526">
        <f t="shared" si="34"/>
        <v>-154.96704807668399</v>
      </c>
      <c r="I66" s="526">
        <f t="shared" si="34"/>
        <v>1</v>
      </c>
      <c r="J66" s="526" t="str">
        <f t="shared" si="34"/>
        <v>14_To_15</v>
      </c>
      <c r="K66" s="526">
        <f t="shared" si="34"/>
        <v>27.1146207730899</v>
      </c>
      <c r="L66" s="526">
        <f t="shared" si="34"/>
        <v>0</v>
      </c>
      <c r="M66" s="526">
        <f t="shared" si="34"/>
        <v>20</v>
      </c>
      <c r="N66" s="526">
        <f t="shared" si="34"/>
        <v>1</v>
      </c>
      <c r="O66" s="526">
        <f t="shared" si="34"/>
        <v>24671024.711638</v>
      </c>
      <c r="P66" s="540">
        <f t="shared" si="34"/>
        <v>6.8530624198994445</v>
      </c>
      <c r="Q66" s="528">
        <f t="shared" si="34"/>
        <v>280.39568731181703</v>
      </c>
      <c r="R66" s="526">
        <f t="shared" si="34"/>
        <v>0</v>
      </c>
      <c r="S66" s="526">
        <f t="shared" si="34"/>
        <v>182.08166884977399</v>
      </c>
      <c r="T66" s="526">
        <f t="shared" si="34"/>
        <v>187</v>
      </c>
    </row>
    <row r="67" spans="1:20">
      <c r="B67" s="526">
        <v>14</v>
      </c>
      <c r="C67" s="526" t="str">
        <f t="shared" ref="C67:T67" si="35">C23</f>
        <v>E-130</v>
      </c>
      <c r="D67" s="526">
        <f t="shared" si="35"/>
        <v>0</v>
      </c>
      <c r="E67" s="526" t="str">
        <f t="shared" si="35"/>
        <v>To Reboiler@T3_TO_28-C2C5</v>
      </c>
      <c r="F67" s="526">
        <f t="shared" si="35"/>
        <v>-88.318584536369499</v>
      </c>
      <c r="G67" s="526">
        <f t="shared" si="35"/>
        <v>0</v>
      </c>
      <c r="H67" s="526">
        <f t="shared" si="35"/>
        <v>-87.391500579819294</v>
      </c>
      <c r="I67" s="526" t="b">
        <f t="shared" si="35"/>
        <v>0</v>
      </c>
      <c r="J67" s="526" t="str">
        <f t="shared" si="35"/>
        <v>17_To_18</v>
      </c>
      <c r="K67" s="526">
        <f t="shared" si="35"/>
        <v>-28.5670407777775</v>
      </c>
      <c r="L67" s="526">
        <f t="shared" si="35"/>
        <v>0</v>
      </c>
      <c r="M67" s="526">
        <f t="shared" si="35"/>
        <v>-31.141817199999998</v>
      </c>
      <c r="N67" s="526">
        <f t="shared" si="35"/>
        <v>1</v>
      </c>
      <c r="O67" s="526">
        <f t="shared" si="35"/>
        <v>9298096.2054976299</v>
      </c>
      <c r="P67" s="540">
        <f t="shared" si="35"/>
        <v>2.5828045015271193</v>
      </c>
      <c r="Q67" s="528">
        <f t="shared" si="35"/>
        <v>135.925467114605</v>
      </c>
      <c r="R67" s="526">
        <f t="shared" si="35"/>
        <v>0</v>
      </c>
      <c r="S67" s="526">
        <f t="shared" si="35"/>
        <v>58.824459802041702</v>
      </c>
      <c r="T67" s="526">
        <f t="shared" si="35"/>
        <v>57.176767336369601</v>
      </c>
    </row>
    <row r="68" spans="1:20">
      <c r="B68" s="526">
        <v>15</v>
      </c>
      <c r="C68" s="526" t="str">
        <f t="shared" ref="C68:T68" si="36">C25</f>
        <v>E-132</v>
      </c>
      <c r="D68" s="526">
        <f t="shared" si="36"/>
        <v>0</v>
      </c>
      <c r="E68" s="526" t="str">
        <f t="shared" si="36"/>
        <v>To Reboiler@T3_TO_28-C2C5</v>
      </c>
      <c r="F68" s="526">
        <f t="shared" si="36"/>
        <v>-88.318584536369499</v>
      </c>
      <c r="G68" s="526">
        <f t="shared" si="36"/>
        <v>0</v>
      </c>
      <c r="H68" s="526">
        <f t="shared" si="36"/>
        <v>-87.391500579819294</v>
      </c>
      <c r="I68" s="526" t="b">
        <f t="shared" si="36"/>
        <v>0</v>
      </c>
      <c r="J68" s="526" t="str">
        <f t="shared" si="36"/>
        <v>V3_heat</v>
      </c>
      <c r="K68" s="526">
        <f t="shared" si="36"/>
        <v>-44.433368986792701</v>
      </c>
      <c r="L68" s="526">
        <f t="shared" si="36"/>
        <v>0</v>
      </c>
      <c r="M68" s="526">
        <f t="shared" si="36"/>
        <v>-60</v>
      </c>
      <c r="N68" s="526">
        <f t="shared" si="36"/>
        <v>1</v>
      </c>
      <c r="O68" s="526">
        <f t="shared" si="36"/>
        <v>53410657.5530238</v>
      </c>
      <c r="P68" s="540">
        <f t="shared" si="36"/>
        <v>14.836293764728833</v>
      </c>
      <c r="Q68" s="528">
        <f t="shared" si="36"/>
        <v>2179.8081586858202</v>
      </c>
      <c r="R68" s="526">
        <f t="shared" si="36"/>
        <v>0</v>
      </c>
      <c r="S68" s="526">
        <f t="shared" si="36"/>
        <v>42.9581315930266</v>
      </c>
      <c r="T68" s="526">
        <f t="shared" si="36"/>
        <v>28.318584536369499</v>
      </c>
    </row>
    <row r="69" spans="1:20">
      <c r="P69" s="540"/>
      <c r="Q69" s="528"/>
    </row>
    <row r="70" spans="1:20">
      <c r="A70" s="526" t="s">
        <v>1011</v>
      </c>
      <c r="B70" s="526">
        <v>16</v>
      </c>
      <c r="C70" s="526" t="str">
        <f t="shared" ref="C70:T70" si="37">C11</f>
        <v>E-118</v>
      </c>
      <c r="D70" s="526">
        <f t="shared" si="37"/>
        <v>0</v>
      </c>
      <c r="E70" s="526" t="str">
        <f t="shared" si="37"/>
        <v>31_To_35</v>
      </c>
      <c r="F70" s="526">
        <f t="shared" si="37"/>
        <v>-154.96704807668399</v>
      </c>
      <c r="G70" s="526">
        <f t="shared" si="37"/>
        <v>0</v>
      </c>
      <c r="H70" s="526">
        <f t="shared" si="37"/>
        <v>-119.473661440684</v>
      </c>
      <c r="I70" s="526">
        <f t="shared" si="37"/>
        <v>1</v>
      </c>
      <c r="J70" s="526" t="str">
        <f t="shared" si="37"/>
        <v>To Condenser@T3_TO_27-ETHYL</v>
      </c>
      <c r="K70" s="526">
        <f t="shared" si="37"/>
        <v>-104.12595326851</v>
      </c>
      <c r="L70" s="526">
        <f t="shared" si="37"/>
        <v>0</v>
      </c>
      <c r="M70" s="526">
        <f t="shared" si="37"/>
        <v>-104.193123216595</v>
      </c>
      <c r="N70" s="526">
        <f t="shared" si="37"/>
        <v>1</v>
      </c>
      <c r="O70" s="526">
        <f t="shared" si="37"/>
        <v>72771687.643806607</v>
      </c>
      <c r="P70" s="540">
        <f t="shared" si="37"/>
        <v>20.214357678835167</v>
      </c>
      <c r="Q70" s="528">
        <f t="shared" si="37"/>
        <v>2547.8667252461</v>
      </c>
      <c r="R70" s="526">
        <f t="shared" si="37"/>
        <v>0</v>
      </c>
      <c r="S70" s="526">
        <f t="shared" si="37"/>
        <v>15.3477081721741</v>
      </c>
      <c r="T70" s="526">
        <f t="shared" si="37"/>
        <v>50.773924860088997</v>
      </c>
    </row>
    <row r="71" spans="1:20">
      <c r="B71" s="531">
        <v>17</v>
      </c>
      <c r="C71" s="531" t="str">
        <f t="shared" ref="C71:T71" si="38">C14</f>
        <v>E-121</v>
      </c>
      <c r="D71" s="531">
        <f t="shared" si="38"/>
        <v>0</v>
      </c>
      <c r="E71" s="531" t="str">
        <f t="shared" si="38"/>
        <v>CRYOTEMP</v>
      </c>
      <c r="F71" s="531">
        <f t="shared" si="38"/>
        <v>-269.24253056437402</v>
      </c>
      <c r="G71" s="531">
        <f t="shared" si="38"/>
        <v>0</v>
      </c>
      <c r="H71" s="531">
        <f t="shared" si="38"/>
        <v>-269</v>
      </c>
      <c r="I71" s="531" t="b">
        <f t="shared" si="38"/>
        <v>0</v>
      </c>
      <c r="J71" s="531" t="str">
        <f t="shared" si="38"/>
        <v>29_To_30</v>
      </c>
      <c r="K71" s="531">
        <f t="shared" si="38"/>
        <v>-140</v>
      </c>
      <c r="L71" s="531">
        <f t="shared" si="38"/>
        <v>0</v>
      </c>
      <c r="M71" s="531">
        <f t="shared" si="38"/>
        <v>-159.13215600000001</v>
      </c>
      <c r="N71" s="531">
        <f t="shared" si="38"/>
        <v>1</v>
      </c>
      <c r="O71" s="531">
        <f t="shared" si="38"/>
        <v>116409735.100402</v>
      </c>
      <c r="P71" s="542">
        <f t="shared" si="38"/>
        <v>32.336037527889445</v>
      </c>
      <c r="Q71" s="532">
        <f t="shared" si="38"/>
        <v>452.97962597271498</v>
      </c>
      <c r="R71" s="531">
        <f t="shared" si="38"/>
        <v>0</v>
      </c>
      <c r="S71" s="531">
        <f t="shared" si="38"/>
        <v>129</v>
      </c>
      <c r="T71" s="531">
        <f t="shared" si="38"/>
        <v>110.110374564374</v>
      </c>
    </row>
    <row r="72" spans="1:20">
      <c r="B72" s="531">
        <v>18</v>
      </c>
      <c r="C72" s="531" t="str">
        <f t="shared" ref="C72:T72" si="39">C19</f>
        <v>E-126</v>
      </c>
      <c r="D72" s="531">
        <f t="shared" si="39"/>
        <v>0</v>
      </c>
      <c r="E72" s="531" t="str">
        <f t="shared" si="39"/>
        <v>CRYOTEMP</v>
      </c>
      <c r="F72" s="531">
        <f t="shared" si="39"/>
        <v>-270</v>
      </c>
      <c r="G72" s="531">
        <f t="shared" si="39"/>
        <v>0</v>
      </c>
      <c r="H72" s="531">
        <f t="shared" si="39"/>
        <v>-269.24253056437402</v>
      </c>
      <c r="I72" s="531" t="b">
        <f t="shared" si="39"/>
        <v>0</v>
      </c>
      <c r="J72" s="531" t="str">
        <f t="shared" si="39"/>
        <v>V5_heat</v>
      </c>
      <c r="K72" s="531">
        <f t="shared" si="39"/>
        <v>-159.13215600000001</v>
      </c>
      <c r="L72" s="531">
        <f t="shared" si="39"/>
        <v>0</v>
      </c>
      <c r="M72" s="531">
        <f t="shared" si="39"/>
        <v>-167</v>
      </c>
      <c r="N72" s="531">
        <f t="shared" si="39"/>
        <v>1</v>
      </c>
      <c r="O72" s="531">
        <f t="shared" si="39"/>
        <v>37516725.413856</v>
      </c>
      <c r="P72" s="542">
        <f t="shared" si="39"/>
        <v>10.42131261496</v>
      </c>
      <c r="Q72" s="532">
        <f t="shared" si="39"/>
        <v>564.50129293723103</v>
      </c>
      <c r="R72" s="531">
        <f t="shared" si="39"/>
        <v>0</v>
      </c>
      <c r="S72" s="531">
        <f t="shared" si="39"/>
        <v>110.110374564374</v>
      </c>
      <c r="T72" s="531">
        <f t="shared" si="39"/>
        <v>103</v>
      </c>
    </row>
    <row r="73" spans="1:20">
      <c r="B73" s="531">
        <v>19</v>
      </c>
      <c r="C73" s="531" t="str">
        <f t="shared" ref="C73:T73" si="40">C20</f>
        <v>E-127</v>
      </c>
      <c r="D73" s="531">
        <f t="shared" si="40"/>
        <v>0</v>
      </c>
      <c r="E73" s="531" t="str">
        <f t="shared" si="40"/>
        <v>CRYOTEMP</v>
      </c>
      <c r="F73" s="531">
        <f t="shared" si="40"/>
        <v>-270</v>
      </c>
      <c r="G73" s="531">
        <f t="shared" si="40"/>
        <v>0</v>
      </c>
      <c r="H73" s="531">
        <f t="shared" si="40"/>
        <v>-269.24253056437402</v>
      </c>
      <c r="I73" s="531" t="b">
        <f t="shared" si="40"/>
        <v>0</v>
      </c>
      <c r="J73" s="531" t="str">
        <f t="shared" si="40"/>
        <v>V4_heat</v>
      </c>
      <c r="K73" s="531">
        <f t="shared" si="40"/>
        <v>-103.315602</v>
      </c>
      <c r="L73" s="531">
        <f t="shared" si="40"/>
        <v>0</v>
      </c>
      <c r="M73" s="531">
        <f t="shared" si="40"/>
        <v>-140</v>
      </c>
      <c r="N73" s="531">
        <f t="shared" si="40"/>
        <v>1</v>
      </c>
      <c r="O73" s="531">
        <f t="shared" si="40"/>
        <v>283465028.52252001</v>
      </c>
      <c r="P73" s="542">
        <f t="shared" si="40"/>
        <v>78.740285700699999</v>
      </c>
      <c r="Q73" s="532">
        <f t="shared" si="40"/>
        <v>3086.0352733077402</v>
      </c>
      <c r="R73" s="531">
        <f t="shared" si="40"/>
        <v>0</v>
      </c>
      <c r="S73" s="531">
        <f t="shared" si="40"/>
        <v>165.92692856437401</v>
      </c>
      <c r="T73" s="531">
        <f t="shared" si="40"/>
        <v>130</v>
      </c>
    </row>
    <row r="74" spans="1:20">
      <c r="B74" s="531">
        <v>20</v>
      </c>
      <c r="C74" s="531" t="str">
        <f>C21</f>
        <v>E-128</v>
      </c>
      <c r="D74" s="531">
        <v>21</v>
      </c>
      <c r="E74" s="531" t="str">
        <f>E21</f>
        <v>CRYOTEMP</v>
      </c>
      <c r="F74" s="531">
        <v>22</v>
      </c>
      <c r="G74" s="531">
        <f>G21</f>
        <v>0</v>
      </c>
      <c r="H74" s="531">
        <v>23</v>
      </c>
      <c r="I74" s="531" t="b">
        <f>I21</f>
        <v>0</v>
      </c>
      <c r="J74" s="531">
        <v>24</v>
      </c>
      <c r="K74" s="531">
        <f>K21</f>
        <v>-75.406231828833896</v>
      </c>
      <c r="L74" s="531">
        <v>25</v>
      </c>
      <c r="M74" s="531">
        <f>M21</f>
        <v>-103.315602</v>
      </c>
      <c r="N74" s="531">
        <v>26</v>
      </c>
      <c r="O74" s="531">
        <f>O21</f>
        <v>102616308.91684701</v>
      </c>
      <c r="P74" s="542">
        <v>27</v>
      </c>
      <c r="Q74" s="532">
        <f>Q21</f>
        <v>628.58754624023697</v>
      </c>
      <c r="R74" s="531">
        <v>28</v>
      </c>
      <c r="S74" s="531">
        <f>S21</f>
        <v>193.83629873554</v>
      </c>
      <c r="T74" s="531">
        <v>29</v>
      </c>
    </row>
    <row r="75" spans="1:20">
      <c r="B75" s="526">
        <v>21</v>
      </c>
      <c r="C75" s="526" t="str">
        <f t="shared" ref="C75:T75" si="41">C24</f>
        <v>E-131</v>
      </c>
      <c r="D75" s="526">
        <f t="shared" si="41"/>
        <v>0</v>
      </c>
      <c r="E75" s="526" t="str">
        <f t="shared" si="41"/>
        <v>39_To_42</v>
      </c>
      <c r="F75" s="526">
        <f t="shared" si="41"/>
        <v>-169.27893900000001</v>
      </c>
      <c r="G75" s="526">
        <f t="shared" si="41"/>
        <v>0</v>
      </c>
      <c r="H75" s="526">
        <f t="shared" si="41"/>
        <v>-152.581270659719</v>
      </c>
      <c r="I75" s="526">
        <f t="shared" si="41"/>
        <v>1</v>
      </c>
      <c r="J75" s="526" t="str">
        <f t="shared" si="41"/>
        <v>To Condenser@T3_TO_27-ETHYL</v>
      </c>
      <c r="K75" s="526">
        <f t="shared" si="41"/>
        <v>-104.193123216595</v>
      </c>
      <c r="L75" s="526">
        <f t="shared" si="41"/>
        <v>0</v>
      </c>
      <c r="M75" s="526">
        <f t="shared" si="41"/>
        <v>-106.017233</v>
      </c>
      <c r="N75" s="526">
        <f t="shared" si="41"/>
        <v>1</v>
      </c>
      <c r="O75" s="526">
        <f t="shared" si="41"/>
        <v>103159142.90264</v>
      </c>
      <c r="P75" s="540">
        <f t="shared" si="41"/>
        <v>28.655317472955556</v>
      </c>
      <c r="Q75" s="528">
        <f t="shared" si="41"/>
        <v>296.12329007772797</v>
      </c>
      <c r="R75" s="526">
        <f t="shared" si="41"/>
        <v>0</v>
      </c>
      <c r="S75" s="526">
        <f t="shared" si="41"/>
        <v>48.388147443124097</v>
      </c>
      <c r="T75" s="526">
        <f t="shared" si="41"/>
        <v>63.261705999999997</v>
      </c>
    </row>
  </sheetData>
  <phoneticPr fontId="8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26"/>
  <sheetViews>
    <sheetView zoomScale="70" zoomScaleNormal="70" workbookViewId="0">
      <selection activeCell="U108" sqref="U108"/>
    </sheetView>
  </sheetViews>
  <sheetFormatPr defaultRowHeight="16.5"/>
  <cols>
    <col min="1" max="1" width="5.5" customWidth="1"/>
    <col min="3" max="3" width="14.25" bestFit="1" customWidth="1"/>
    <col min="4" max="4" width="16.875" customWidth="1"/>
    <col min="5" max="5" width="12.5" bestFit="1" customWidth="1"/>
    <col min="6" max="6" width="20" style="82" customWidth="1"/>
    <col min="7" max="7" width="9.5" bestFit="1" customWidth="1"/>
    <col min="8" max="9" width="9.125" customWidth="1"/>
    <col min="12" max="12" width="12.5" bestFit="1" customWidth="1"/>
    <col min="13" max="13" width="19.25" customWidth="1"/>
    <col min="14" max="14" width="10.25" customWidth="1"/>
    <col min="15" max="15" width="17.25" customWidth="1"/>
    <col min="16" max="16" width="11.25" bestFit="1" customWidth="1"/>
    <col min="17" max="17" width="16.25" customWidth="1"/>
    <col min="18" max="18" width="13.875" customWidth="1"/>
    <col min="19" max="19" width="7.5" customWidth="1"/>
    <col min="21" max="21" width="9.5" bestFit="1" customWidth="1"/>
    <col min="30" max="30" width="39.875" bestFit="1" customWidth="1"/>
    <col min="31" max="31" width="14.875" customWidth="1"/>
    <col min="32" max="32" width="10" bestFit="1" customWidth="1"/>
  </cols>
  <sheetData>
    <row r="1" spans="1:22" ht="20.25">
      <c r="A1" s="45" t="s">
        <v>731</v>
      </c>
    </row>
    <row r="2" spans="1:22" ht="17.25" thickBot="1"/>
    <row r="3" spans="1:22" ht="21" thickBot="1">
      <c r="B3" s="945" t="s">
        <v>729</v>
      </c>
      <c r="C3" s="946"/>
      <c r="D3" s="946"/>
      <c r="E3" s="946"/>
      <c r="F3" s="947"/>
      <c r="H3" s="948" t="s">
        <v>707</v>
      </c>
      <c r="I3" s="949"/>
      <c r="J3" s="949"/>
      <c r="K3" s="949"/>
      <c r="L3" s="950"/>
    </row>
    <row r="4" spans="1:22">
      <c r="B4" s="129" t="s">
        <v>720</v>
      </c>
      <c r="C4" s="136"/>
      <c r="D4" s="136"/>
      <c r="E4" s="136"/>
      <c r="F4" s="202" t="s">
        <v>195</v>
      </c>
      <c r="H4" s="63" t="s">
        <v>715</v>
      </c>
      <c r="I4" s="64"/>
      <c r="J4" s="64"/>
      <c r="K4" s="64"/>
      <c r="L4" s="105">
        <f>100.38*10^6*(1246/500)^0.67</f>
        <v>185069297.65272826</v>
      </c>
      <c r="M4" s="277" t="s">
        <v>706</v>
      </c>
    </row>
    <row r="5" spans="1:22">
      <c r="B5" s="203" t="s">
        <v>723</v>
      </c>
      <c r="C5" s="84"/>
      <c r="D5" s="84"/>
      <c r="E5" s="84"/>
      <c r="F5" s="204" t="s">
        <v>228</v>
      </c>
      <c r="H5" s="67" t="s">
        <v>607</v>
      </c>
      <c r="I5" s="50"/>
      <c r="J5" s="50"/>
      <c r="K5" s="50"/>
      <c r="L5" s="137"/>
      <c r="V5" s="141"/>
    </row>
    <row r="6" spans="1:22">
      <c r="B6" s="203" t="s">
        <v>724</v>
      </c>
      <c r="C6" s="84"/>
      <c r="D6" s="84"/>
      <c r="E6" s="84"/>
      <c r="F6" s="204" t="s">
        <v>234</v>
      </c>
      <c r="H6" s="108" t="s">
        <v>149</v>
      </c>
      <c r="I6" s="50"/>
      <c r="J6" s="50"/>
      <c r="K6" s="50"/>
      <c r="L6" s="137">
        <f>'Previous_Equipment cost'!E48</f>
        <v>1476700</v>
      </c>
      <c r="V6" s="141"/>
    </row>
    <row r="7" spans="1:22">
      <c r="B7" s="95" t="s">
        <v>725</v>
      </c>
      <c r="C7" s="84"/>
      <c r="D7" s="84"/>
      <c r="E7" s="84"/>
      <c r="F7" s="204">
        <v>30</v>
      </c>
      <c r="H7" s="108" t="s">
        <v>127</v>
      </c>
      <c r="I7" s="50"/>
      <c r="J7" s="50"/>
      <c r="K7" s="50"/>
      <c r="L7" s="137">
        <f>'Previous_Equipment cost'!E53</f>
        <v>1090800</v>
      </c>
      <c r="V7" s="141"/>
    </row>
    <row r="8" spans="1:22">
      <c r="B8" s="95" t="s">
        <v>726</v>
      </c>
      <c r="C8" s="84"/>
      <c r="D8" s="84"/>
      <c r="E8" s="84"/>
      <c r="F8" s="204">
        <v>8000</v>
      </c>
      <c r="H8" s="108" t="s">
        <v>125</v>
      </c>
      <c r="I8" s="50"/>
      <c r="J8" s="50"/>
      <c r="K8" s="50"/>
      <c r="L8" s="137">
        <f>'Previous_Equipment cost'!E51</f>
        <v>949500</v>
      </c>
      <c r="V8" s="141"/>
    </row>
    <row r="9" spans="1:22">
      <c r="B9" s="95" t="s">
        <v>722</v>
      </c>
      <c r="C9" s="84"/>
      <c r="D9" s="84"/>
      <c r="E9" s="84"/>
      <c r="F9" s="204" t="s">
        <v>730</v>
      </c>
      <c r="H9" s="108" t="s">
        <v>79</v>
      </c>
      <c r="I9" s="50"/>
      <c r="J9" s="50"/>
      <c r="K9" s="50"/>
      <c r="L9" s="137">
        <f>'Previous_Equipment cost'!E63</f>
        <v>444700</v>
      </c>
      <c r="V9" s="141"/>
    </row>
    <row r="10" spans="1:22">
      <c r="B10" s="95" t="s">
        <v>727</v>
      </c>
      <c r="C10" s="84"/>
      <c r="D10" s="84"/>
      <c r="E10" s="84"/>
      <c r="F10" s="204">
        <v>8</v>
      </c>
      <c r="H10" s="108" t="s">
        <v>80</v>
      </c>
      <c r="I10" s="50"/>
      <c r="J10" s="50"/>
      <c r="K10" s="50"/>
      <c r="L10" s="137">
        <f>'Previous_Equipment cost'!E32</f>
        <v>443200</v>
      </c>
      <c r="V10" s="141"/>
    </row>
    <row r="11" spans="1:22" ht="17.25" thickBot="1">
      <c r="B11" s="96" t="s">
        <v>728</v>
      </c>
      <c r="C11" s="98"/>
      <c r="D11" s="98"/>
      <c r="E11" s="98"/>
      <c r="F11" s="205">
        <v>35</v>
      </c>
      <c r="H11" s="109" t="s">
        <v>608</v>
      </c>
      <c r="I11" s="50"/>
      <c r="J11" s="50"/>
      <c r="K11" s="50"/>
      <c r="L11" s="137"/>
      <c r="V11" s="141"/>
    </row>
    <row r="12" spans="1:22" ht="17.25" thickBot="1">
      <c r="H12" s="108" t="s">
        <v>154</v>
      </c>
      <c r="I12" s="50"/>
      <c r="J12" s="50"/>
      <c r="K12" s="50"/>
      <c r="L12" s="137">
        <f>SUM('Previous_Equipment cost'!E20:E26)</f>
        <v>125300</v>
      </c>
      <c r="V12" s="141"/>
    </row>
    <row r="13" spans="1:22" ht="21" thickBot="1">
      <c r="B13" s="945" t="s">
        <v>708</v>
      </c>
      <c r="C13" s="946"/>
      <c r="D13" s="946"/>
      <c r="E13" s="946"/>
      <c r="F13" s="947"/>
      <c r="G13" s="142"/>
      <c r="H13" s="108" t="s">
        <v>126</v>
      </c>
      <c r="I13" s="50"/>
      <c r="J13" s="50"/>
      <c r="K13" s="50"/>
      <c r="L13" s="137">
        <f>SUM('Previous_Equipment cost'!E54:E60)</f>
        <v>1031800</v>
      </c>
      <c r="V13" s="141"/>
    </row>
    <row r="14" spans="1:22">
      <c r="B14" s="206" t="s">
        <v>634</v>
      </c>
      <c r="C14" s="84"/>
      <c r="D14" s="84"/>
      <c r="E14" s="84"/>
      <c r="F14" s="207">
        <f>SUBTOTAL(9,F15:F29)</f>
        <v>5.0400000000000009</v>
      </c>
      <c r="H14" s="108" t="s">
        <v>156</v>
      </c>
      <c r="I14" s="50"/>
      <c r="J14" s="50"/>
      <c r="K14" s="50"/>
      <c r="L14" s="137">
        <f>SUM('Previous_Equipment cost'!E37:E43)</f>
        <v>3547200</v>
      </c>
      <c r="V14" s="141"/>
    </row>
    <row r="15" spans="1:22">
      <c r="B15" s="208" t="s">
        <v>632</v>
      </c>
      <c r="C15" s="209"/>
      <c r="D15" s="84"/>
      <c r="E15" s="84"/>
      <c r="F15" s="210">
        <f>SUBTOTAL(9,F16:F23)</f>
        <v>3.6000000000000005</v>
      </c>
      <c r="H15" s="109" t="s">
        <v>609</v>
      </c>
      <c r="I15" s="50"/>
      <c r="J15" s="50"/>
      <c r="K15" s="50"/>
      <c r="L15" s="137"/>
      <c r="V15" s="141"/>
    </row>
    <row r="16" spans="1:22">
      <c r="B16" s="211" t="s">
        <v>612</v>
      </c>
      <c r="C16" s="209"/>
      <c r="D16" s="84"/>
      <c r="E16" s="84"/>
      <c r="F16" s="210">
        <v>1</v>
      </c>
      <c r="H16" s="108" t="s">
        <v>146</v>
      </c>
      <c r="I16" s="50"/>
      <c r="J16" s="50"/>
      <c r="K16" s="50"/>
      <c r="L16" s="137">
        <f>'Previous_Equipment cost'!E19</f>
        <v>12850900</v>
      </c>
      <c r="M16" s="194"/>
      <c r="V16" s="141"/>
    </row>
    <row r="17" spans="1:22">
      <c r="B17" s="211" t="s">
        <v>635</v>
      </c>
      <c r="C17" s="209"/>
      <c r="D17" s="84"/>
      <c r="E17" s="84"/>
      <c r="F17" s="210">
        <v>0.47</v>
      </c>
      <c r="H17" s="108" t="s">
        <v>148</v>
      </c>
      <c r="I17" s="50"/>
      <c r="J17" s="50"/>
      <c r="K17" s="50"/>
      <c r="L17" s="137">
        <f>'Previous_Equipment cost'!E27</f>
        <v>4429400</v>
      </c>
      <c r="V17" s="141"/>
    </row>
    <row r="18" spans="1:22">
      <c r="B18" s="211" t="s">
        <v>636</v>
      </c>
      <c r="C18" s="209"/>
      <c r="D18" s="84"/>
      <c r="E18" s="84"/>
      <c r="F18" s="210">
        <v>0.36</v>
      </c>
      <c r="H18" s="108" t="s">
        <v>151</v>
      </c>
      <c r="I18" s="50"/>
      <c r="J18" s="50"/>
      <c r="K18" s="50"/>
      <c r="L18" s="137">
        <f>'Previous_Equipment cost'!E47</f>
        <v>8613900</v>
      </c>
      <c r="V18" s="141"/>
    </row>
    <row r="19" spans="1:22">
      <c r="B19" s="211" t="s">
        <v>637</v>
      </c>
      <c r="C19" s="209"/>
      <c r="D19" s="84"/>
      <c r="E19" s="84"/>
      <c r="F19" s="210">
        <v>0.68</v>
      </c>
      <c r="H19" s="108" t="s">
        <v>142</v>
      </c>
      <c r="I19" s="50"/>
      <c r="J19" s="50"/>
      <c r="K19" s="50"/>
      <c r="L19" s="137">
        <f>(541.7/280)*101.3*28232^0.65*(0.8+0)*1</f>
        <v>122541.24999233587</v>
      </c>
      <c r="M19" s="183" t="s">
        <v>713</v>
      </c>
    </row>
    <row r="20" spans="1:22">
      <c r="B20" s="211" t="s">
        <v>638</v>
      </c>
      <c r="C20" s="209"/>
      <c r="D20" s="84"/>
      <c r="E20" s="84"/>
      <c r="F20" s="210">
        <v>0.11</v>
      </c>
      <c r="H20" s="108" t="s">
        <v>143</v>
      </c>
      <c r="I20" s="50"/>
      <c r="J20" s="50"/>
      <c r="K20" s="50"/>
      <c r="L20" s="137">
        <f>541.7/323.8*398*(1375/1)^0.65*(1+0.52)*1</f>
        <v>110944.40490680157</v>
      </c>
    </row>
    <row r="21" spans="1:22">
      <c r="B21" s="211" t="s">
        <v>639</v>
      </c>
      <c r="C21" s="209"/>
      <c r="D21" s="84"/>
      <c r="E21" s="84"/>
      <c r="F21" s="210">
        <v>0.18</v>
      </c>
      <c r="H21" s="108" t="s">
        <v>152</v>
      </c>
      <c r="I21" s="50"/>
      <c r="J21" s="50"/>
      <c r="K21" s="50"/>
      <c r="L21" s="137">
        <f>'Previous_Equipment cost'!E44</f>
        <v>1865400</v>
      </c>
    </row>
    <row r="22" spans="1:22">
      <c r="B22" s="211" t="s">
        <v>640</v>
      </c>
      <c r="C22" s="209"/>
      <c r="D22" s="84"/>
      <c r="E22" s="84"/>
      <c r="F22" s="210">
        <v>0.1</v>
      </c>
      <c r="H22" s="108" t="s">
        <v>153</v>
      </c>
      <c r="I22" s="50"/>
      <c r="J22" s="50"/>
      <c r="K22" s="50"/>
      <c r="L22" s="137">
        <f>'Previous_Equipment cost'!E62</f>
        <v>409400</v>
      </c>
    </row>
    <row r="23" spans="1:22">
      <c r="B23" s="211" t="s">
        <v>641</v>
      </c>
      <c r="C23" s="209"/>
      <c r="D23" s="84"/>
      <c r="E23" s="84"/>
      <c r="F23" s="210">
        <v>0.7</v>
      </c>
      <c r="H23" s="108" t="s">
        <v>155</v>
      </c>
      <c r="I23" s="50"/>
      <c r="J23" s="50"/>
      <c r="K23" s="50"/>
      <c r="L23" s="137">
        <f>'Previous_Equipment cost'!$E$61</f>
        <v>475200</v>
      </c>
    </row>
    <row r="24" spans="1:22" ht="17.25" thickBot="1">
      <c r="B24" s="208" t="s">
        <v>633</v>
      </c>
      <c r="C24" s="209"/>
      <c r="D24" s="84"/>
      <c r="E24" s="84"/>
      <c r="F24" s="210">
        <f>SUBTOTAL(9,F25:F29)</f>
        <v>1.44</v>
      </c>
      <c r="H24" s="200" t="s">
        <v>157</v>
      </c>
      <c r="I24" s="71"/>
      <c r="J24" s="71"/>
      <c r="K24" s="71"/>
      <c r="L24" s="138">
        <f>'Previous_Equipment cost'!E29</f>
        <v>801700</v>
      </c>
    </row>
    <row r="25" spans="1:22" ht="21" thickBot="1">
      <c r="B25" s="211" t="s">
        <v>642</v>
      </c>
      <c r="C25" s="84"/>
      <c r="D25" s="84"/>
      <c r="E25" s="84"/>
      <c r="F25" s="210">
        <v>0.33</v>
      </c>
      <c r="H25" s="948" t="s">
        <v>618</v>
      </c>
      <c r="I25" s="949"/>
      <c r="J25" s="949"/>
      <c r="K25" s="949"/>
      <c r="L25" s="148">
        <f>SUM(L4:L24)</f>
        <v>223857883.30762741</v>
      </c>
    </row>
    <row r="26" spans="1:22">
      <c r="B26" s="211" t="s">
        <v>643</v>
      </c>
      <c r="C26" s="84"/>
      <c r="D26" s="84"/>
      <c r="E26" s="84"/>
      <c r="F26" s="210">
        <v>0.41</v>
      </c>
    </row>
    <row r="27" spans="1:22">
      <c r="B27" s="211" t="s">
        <v>644</v>
      </c>
      <c r="C27" s="84"/>
      <c r="D27" s="84"/>
      <c r="E27" s="84"/>
      <c r="F27" s="210">
        <v>0.04</v>
      </c>
    </row>
    <row r="28" spans="1:22">
      <c r="B28" s="211" t="s">
        <v>645</v>
      </c>
      <c r="C28" s="84"/>
      <c r="D28" s="84"/>
      <c r="E28" s="84"/>
      <c r="F28" s="210">
        <v>0.22</v>
      </c>
    </row>
    <row r="29" spans="1:22" ht="17.25" thickBot="1">
      <c r="B29" s="212" t="s">
        <v>646</v>
      </c>
      <c r="C29" s="98"/>
      <c r="D29" s="98"/>
      <c r="E29" s="98"/>
      <c r="F29" s="213">
        <v>0.44</v>
      </c>
    </row>
    <row r="31" spans="1:22" ht="20.25">
      <c r="A31" s="45" t="s">
        <v>745</v>
      </c>
    </row>
    <row r="32" spans="1:22" ht="17.25" thickBot="1"/>
    <row r="33" spans="2:32" ht="21" thickBot="1">
      <c r="B33" s="967" t="s">
        <v>716</v>
      </c>
      <c r="C33" s="968"/>
      <c r="D33" s="968"/>
      <c r="E33" s="968"/>
      <c r="F33" s="969"/>
      <c r="H33" s="970" t="s">
        <v>670</v>
      </c>
      <c r="I33" s="971"/>
      <c r="J33" s="971"/>
      <c r="K33" s="971"/>
      <c r="L33" s="971"/>
      <c r="M33" s="971"/>
      <c r="N33" s="971"/>
      <c r="O33" s="971"/>
      <c r="P33" s="971"/>
      <c r="Q33" s="971"/>
      <c r="R33" s="971"/>
      <c r="S33" s="972"/>
      <c r="U33" t="s">
        <v>714</v>
      </c>
      <c r="V33" t="s">
        <v>677</v>
      </c>
      <c r="AE33" t="s">
        <v>766</v>
      </c>
    </row>
    <row r="34" spans="2:32">
      <c r="B34" s="218" t="s">
        <v>700</v>
      </c>
      <c r="C34" s="120"/>
      <c r="D34" s="120"/>
      <c r="E34" s="120"/>
      <c r="F34" s="219">
        <f t="shared" ref="F34:F49" si="0">F14*$L$25</f>
        <v>1128243731.8704424</v>
      </c>
      <c r="G34" s="278"/>
      <c r="H34" s="58"/>
      <c r="I34" s="59"/>
      <c r="J34" s="59"/>
      <c r="K34" s="59" t="s">
        <v>663</v>
      </c>
      <c r="L34" s="59"/>
      <c r="M34" s="59" t="s">
        <v>650</v>
      </c>
      <c r="N34" s="59"/>
      <c r="O34" s="59" t="s">
        <v>674</v>
      </c>
      <c r="P34" s="59"/>
      <c r="Q34" s="59" t="s">
        <v>675</v>
      </c>
      <c r="R34" s="59" t="s">
        <v>685</v>
      </c>
      <c r="S34" s="245" t="s">
        <v>686</v>
      </c>
      <c r="U34">
        <v>1</v>
      </c>
      <c r="V34">
        <v>0.45359237000000002</v>
      </c>
      <c r="AD34" t="s">
        <v>634</v>
      </c>
      <c r="AE34" s="283">
        <f>F34/10^6</f>
        <v>1128.2437318704424</v>
      </c>
      <c r="AF34" s="278">
        <v>1128.2437318704424</v>
      </c>
    </row>
    <row r="35" spans="2:32">
      <c r="B35" s="220" t="s">
        <v>632</v>
      </c>
      <c r="C35" s="123"/>
      <c r="D35" s="123"/>
      <c r="E35" s="123"/>
      <c r="F35" s="221">
        <f t="shared" si="0"/>
        <v>805888379.90745878</v>
      </c>
      <c r="G35" s="278"/>
      <c r="H35" s="182" t="s">
        <v>648</v>
      </c>
      <c r="I35" s="43"/>
      <c r="J35" s="43"/>
      <c r="K35" s="43"/>
      <c r="L35" s="43"/>
      <c r="M35" s="43"/>
      <c r="N35" s="43"/>
      <c r="O35" s="43"/>
      <c r="P35" s="43"/>
      <c r="Q35" s="46">
        <f>SUBTOTAL(9,Q36)</f>
        <v>303066278.36371672</v>
      </c>
      <c r="R35" s="46">
        <f>SUBTOTAL(9,R36)</f>
        <v>303066278.36371672</v>
      </c>
      <c r="S35" s="246">
        <f>(R35-Q35)/Q35</f>
        <v>0</v>
      </c>
      <c r="AD35" t="s">
        <v>632</v>
      </c>
      <c r="AE35" s="283">
        <f t="shared" ref="AE35:AE53" si="1">F35/10^6</f>
        <v>805.88837990745878</v>
      </c>
      <c r="AF35" s="278">
        <v>805.88837990745878</v>
      </c>
    </row>
    <row r="36" spans="2:32">
      <c r="B36" s="222" t="s">
        <v>612</v>
      </c>
      <c r="C36" s="123"/>
      <c r="D36" s="123"/>
      <c r="E36" s="123"/>
      <c r="F36" s="221">
        <f t="shared" si="0"/>
        <v>223857883.30762741</v>
      </c>
      <c r="G36" s="278"/>
      <c r="H36" s="177" t="s">
        <v>131</v>
      </c>
      <c r="K36">
        <v>1</v>
      </c>
      <c r="M36">
        <v>3.27</v>
      </c>
      <c r="N36" t="s">
        <v>680</v>
      </c>
      <c r="O36" s="44">
        <f>'Previous_Technical performance'!D72/28.263682*8000</f>
        <v>92680819.071473002</v>
      </c>
      <c r="P36" t="s">
        <v>681</v>
      </c>
      <c r="Q36" s="44">
        <f>O36*M36</f>
        <v>303066278.36371672</v>
      </c>
      <c r="R36" s="44">
        <f>Q36*K36</f>
        <v>303066278.36371672</v>
      </c>
      <c r="S36" s="246">
        <f>(R36-Q36)/Q36</f>
        <v>0</v>
      </c>
      <c r="T36" s="183" t="s">
        <v>687</v>
      </c>
      <c r="AD36" t="s">
        <v>612</v>
      </c>
      <c r="AE36" s="283">
        <f t="shared" si="1"/>
        <v>223.85788330762742</v>
      </c>
      <c r="AF36" s="278">
        <v>223.85788330762742</v>
      </c>
    </row>
    <row r="37" spans="2:32">
      <c r="B37" s="222" t="s">
        <v>635</v>
      </c>
      <c r="C37" s="123"/>
      <c r="D37" s="123"/>
      <c r="E37" s="123"/>
      <c r="F37" s="221">
        <f t="shared" si="0"/>
        <v>105213205.15458487</v>
      </c>
      <c r="G37" s="278"/>
      <c r="H37" s="182" t="s">
        <v>662</v>
      </c>
      <c r="I37" s="43"/>
      <c r="J37" s="43"/>
      <c r="K37" s="43"/>
      <c r="L37" s="43"/>
      <c r="M37" s="43"/>
      <c r="N37" s="43"/>
      <c r="O37" s="46"/>
      <c r="P37" s="43"/>
      <c r="Q37" s="46">
        <f>SUBTOTAL(9,Q38:Q44)</f>
        <v>937217317.55723131</v>
      </c>
      <c r="R37" s="46">
        <f>SUBTOTAL(9,R38:R44)</f>
        <v>937217317.55723131</v>
      </c>
      <c r="S37" s="246">
        <f t="shared" ref="S37:S45" si="2">(R37-Q37)/Q37</f>
        <v>0</v>
      </c>
      <c r="AD37" t="s">
        <v>635</v>
      </c>
      <c r="AE37" s="283">
        <f t="shared" si="1"/>
        <v>105.21320515458487</v>
      </c>
      <c r="AF37" s="278">
        <v>105.21320515458487</v>
      </c>
    </row>
    <row r="38" spans="2:32">
      <c r="B38" s="222" t="s">
        <v>636</v>
      </c>
      <c r="C38" s="123"/>
      <c r="D38" s="123"/>
      <c r="E38" s="123"/>
      <c r="F38" s="221">
        <f t="shared" si="0"/>
        <v>80588837.990745857</v>
      </c>
      <c r="G38" s="278"/>
      <c r="H38" s="177" t="s">
        <v>167</v>
      </c>
      <c r="K38">
        <v>1</v>
      </c>
      <c r="M38">
        <v>40</v>
      </c>
      <c r="N38" t="s">
        <v>666</v>
      </c>
      <c r="O38" s="44">
        <f>'Previous_Technical performance'!E59/1000*8000</f>
        <v>358386.56</v>
      </c>
      <c r="P38" t="s">
        <v>671</v>
      </c>
      <c r="Q38" s="44">
        <f>O38*M38</f>
        <v>14335462.4</v>
      </c>
      <c r="R38" s="44">
        <f t="shared" ref="R38:R44" si="3">Q38*K38</f>
        <v>14335462.4</v>
      </c>
      <c r="S38" s="246">
        <f>(R38-Q38)/Q38</f>
        <v>0</v>
      </c>
      <c r="U38" s="187">
        <f>Q38/10^6</f>
        <v>14.335462400000001</v>
      </c>
      <c r="AD38" t="s">
        <v>636</v>
      </c>
      <c r="AE38" s="283">
        <f t="shared" si="1"/>
        <v>80.588837990745859</v>
      </c>
      <c r="AF38" s="278">
        <v>80.588837990745859</v>
      </c>
    </row>
    <row r="39" spans="2:32">
      <c r="B39" s="222" t="s">
        <v>637</v>
      </c>
      <c r="C39" s="123"/>
      <c r="D39" s="123"/>
      <c r="E39" s="123"/>
      <c r="F39" s="221">
        <f t="shared" si="0"/>
        <v>152223360.64918664</v>
      </c>
      <c r="G39" s="278"/>
      <c r="H39" s="177" t="s">
        <v>596</v>
      </c>
      <c r="K39">
        <v>1</v>
      </c>
      <c r="M39" s="44">
        <v>8.8999999999999995E-6</v>
      </c>
      <c r="N39" t="s">
        <v>174</v>
      </c>
      <c r="O39" s="44">
        <f>'DB_Aspen simulation_previous'!D176*8760</f>
        <v>9695068338.3600006</v>
      </c>
      <c r="P39" t="s">
        <v>672</v>
      </c>
      <c r="Q39" s="44">
        <f>O39*1000*M39</f>
        <v>86286108.211403996</v>
      </c>
      <c r="R39" s="44">
        <f t="shared" si="3"/>
        <v>86286108.211403996</v>
      </c>
      <c r="S39" s="246">
        <f t="shared" si="2"/>
        <v>0</v>
      </c>
      <c r="U39" s="187">
        <f t="shared" ref="U39:U44" si="4">Q39/10^6</f>
        <v>86.286108211403999</v>
      </c>
      <c r="AD39" t="s">
        <v>637</v>
      </c>
      <c r="AE39" s="283">
        <f t="shared" si="1"/>
        <v>152.22336064918665</v>
      </c>
      <c r="AF39" s="278">
        <v>152.22336064918665</v>
      </c>
    </row>
    <row r="40" spans="2:32">
      <c r="B40" s="222" t="s">
        <v>638</v>
      </c>
      <c r="C40" s="123"/>
      <c r="D40" s="123"/>
      <c r="E40" s="123"/>
      <c r="F40" s="221">
        <f t="shared" si="0"/>
        <v>24624367.163839016</v>
      </c>
      <c r="G40" s="278"/>
      <c r="H40" s="177" t="s">
        <v>183</v>
      </c>
      <c r="K40">
        <v>1</v>
      </c>
      <c r="M40">
        <v>6.9000000000000006E-2</v>
      </c>
      <c r="N40" t="s">
        <v>665</v>
      </c>
      <c r="O40" s="44">
        <f>'DB_Aspen simulation_previous'!F177*8760</f>
        <v>8388696888</v>
      </c>
      <c r="P40" t="s">
        <v>657</v>
      </c>
      <c r="Q40" s="44">
        <f>O40*M40</f>
        <v>578820085.27200007</v>
      </c>
      <c r="R40" s="44">
        <f t="shared" si="3"/>
        <v>578820085.27200007</v>
      </c>
      <c r="S40" s="246">
        <f t="shared" si="2"/>
        <v>0</v>
      </c>
      <c r="U40" s="187">
        <f t="shared" si="4"/>
        <v>578.82008527200003</v>
      </c>
      <c r="AD40" t="s">
        <v>638</v>
      </c>
      <c r="AE40" s="283">
        <f t="shared" si="1"/>
        <v>24.624367163839015</v>
      </c>
      <c r="AF40" s="278">
        <v>24.624367163839015</v>
      </c>
    </row>
    <row r="41" spans="2:32">
      <c r="B41" s="222" t="s">
        <v>639</v>
      </c>
      <c r="C41" s="123"/>
      <c r="D41" s="123"/>
      <c r="E41" s="123"/>
      <c r="F41" s="221">
        <f t="shared" si="0"/>
        <v>40294418.995372929</v>
      </c>
      <c r="G41" s="278"/>
      <c r="H41" s="177" t="s">
        <v>185</v>
      </c>
      <c r="K41">
        <v>1</v>
      </c>
      <c r="M41">
        <v>0.03</v>
      </c>
      <c r="N41" t="s">
        <v>666</v>
      </c>
      <c r="O41" s="44">
        <f>'DB_Aspen simulation_previous'!F178/1000*8760</f>
        <v>3396138120</v>
      </c>
      <c r="P41" t="s">
        <v>671</v>
      </c>
      <c r="Q41" s="44">
        <f>O41*M41</f>
        <v>101884143.59999999</v>
      </c>
      <c r="R41" s="44">
        <f t="shared" si="3"/>
        <v>101884143.59999999</v>
      </c>
      <c r="S41" s="246">
        <f t="shared" si="2"/>
        <v>0</v>
      </c>
      <c r="U41" s="187">
        <f t="shared" si="4"/>
        <v>101.88414359999999</v>
      </c>
      <c r="AD41" t="s">
        <v>639</v>
      </c>
      <c r="AE41" s="283">
        <f t="shared" si="1"/>
        <v>40.294418995372929</v>
      </c>
      <c r="AF41" s="278">
        <v>40.294418995372929</v>
      </c>
    </row>
    <row r="42" spans="2:32">
      <c r="B42" s="222" t="s">
        <v>640</v>
      </c>
      <c r="C42" s="123"/>
      <c r="D42" s="123"/>
      <c r="E42" s="123"/>
      <c r="F42" s="221">
        <f t="shared" si="0"/>
        <v>22385788.330762744</v>
      </c>
      <c r="G42" s="278"/>
      <c r="H42" s="177" t="s">
        <v>598</v>
      </c>
      <c r="K42">
        <v>1</v>
      </c>
      <c r="M42">
        <v>14.5</v>
      </c>
      <c r="N42" t="s">
        <v>666</v>
      </c>
      <c r="O42" s="44">
        <f>'DB_Aspen simulation_previous'!F180/1000*8760</f>
        <v>39471.946800000005</v>
      </c>
      <c r="P42" t="s">
        <v>671</v>
      </c>
      <c r="Q42" s="44">
        <f>O42*M42</f>
        <v>572343.22860000003</v>
      </c>
      <c r="R42" s="44">
        <f t="shared" si="3"/>
        <v>572343.22860000003</v>
      </c>
      <c r="S42" s="246">
        <f t="shared" si="2"/>
        <v>0</v>
      </c>
      <c r="U42" s="187">
        <f t="shared" si="4"/>
        <v>0.57234322860000009</v>
      </c>
      <c r="AD42" t="s">
        <v>640</v>
      </c>
      <c r="AE42" s="283">
        <f t="shared" si="1"/>
        <v>22.385788330762743</v>
      </c>
      <c r="AF42" s="278">
        <v>22.385788330762743</v>
      </c>
    </row>
    <row r="43" spans="2:32">
      <c r="B43" s="222" t="s">
        <v>641</v>
      </c>
      <c r="C43" s="123"/>
      <c r="D43" s="123"/>
      <c r="E43" s="123"/>
      <c r="F43" s="221">
        <f t="shared" si="0"/>
        <v>156700518.31533918</v>
      </c>
      <c r="G43" s="278"/>
      <c r="H43" s="177" t="s">
        <v>599</v>
      </c>
      <c r="K43">
        <v>1</v>
      </c>
      <c r="M43">
        <v>10.5</v>
      </c>
      <c r="N43" t="s">
        <v>666</v>
      </c>
      <c r="O43" s="44">
        <f>'DB_Aspen simulation_previous'!F181/1000*8760</f>
        <v>1147958.58</v>
      </c>
      <c r="P43" t="s">
        <v>671</v>
      </c>
      <c r="Q43" s="44">
        <f>O43*M43</f>
        <v>12053565.09</v>
      </c>
      <c r="R43" s="44">
        <f t="shared" si="3"/>
        <v>12053565.09</v>
      </c>
      <c r="S43" s="246">
        <f t="shared" si="2"/>
        <v>0</v>
      </c>
      <c r="U43" s="187">
        <f t="shared" si="4"/>
        <v>12.053565089999999</v>
      </c>
      <c r="AD43" t="s">
        <v>641</v>
      </c>
      <c r="AE43" s="283">
        <f t="shared" si="1"/>
        <v>156.70051831533917</v>
      </c>
      <c r="AF43" s="278">
        <v>156.70051831533917</v>
      </c>
    </row>
    <row r="44" spans="2:32">
      <c r="B44" s="220" t="s">
        <v>633</v>
      </c>
      <c r="C44" s="123"/>
      <c r="D44" s="123"/>
      <c r="E44" s="123"/>
      <c r="F44" s="221">
        <f t="shared" si="0"/>
        <v>322355351.96298343</v>
      </c>
      <c r="G44" s="278"/>
      <c r="H44" s="177" t="s">
        <v>705</v>
      </c>
      <c r="K44">
        <v>1</v>
      </c>
      <c r="M44" s="180">
        <f>M36</f>
        <v>3.27</v>
      </c>
      <c r="N44" t="s">
        <v>680</v>
      </c>
      <c r="O44" s="44">
        <f>'DB_Aspen simulation_previous'!D179/1055/0.85*8760</f>
        <v>43812113.074993029</v>
      </c>
      <c r="P44" t="s">
        <v>681</v>
      </c>
      <c r="Q44" s="44">
        <f>O44*M44</f>
        <v>143265609.75522721</v>
      </c>
      <c r="R44" s="44">
        <f t="shared" si="3"/>
        <v>143265609.75522721</v>
      </c>
      <c r="S44" s="246">
        <f t="shared" si="2"/>
        <v>0</v>
      </c>
      <c r="T44" s="183" t="s">
        <v>711</v>
      </c>
      <c r="U44" s="187">
        <f t="shared" si="4"/>
        <v>143.26560975522722</v>
      </c>
      <c r="AD44" t="s">
        <v>633</v>
      </c>
      <c r="AE44" s="283">
        <f t="shared" si="1"/>
        <v>322.35535196298343</v>
      </c>
      <c r="AF44" s="278">
        <v>322.35535196298343</v>
      </c>
    </row>
    <row r="45" spans="2:32" ht="17.25" thickBot="1">
      <c r="B45" s="222" t="s">
        <v>642</v>
      </c>
      <c r="C45" s="123"/>
      <c r="D45" s="123"/>
      <c r="E45" s="123"/>
      <c r="F45" s="221">
        <f t="shared" si="0"/>
        <v>73873101.491517052</v>
      </c>
      <c r="G45" s="278"/>
      <c r="H45" s="198" t="s">
        <v>618</v>
      </c>
      <c r="I45" s="178"/>
      <c r="J45" s="178"/>
      <c r="K45" s="178"/>
      <c r="L45" s="178"/>
      <c r="M45" s="178"/>
      <c r="N45" s="178"/>
      <c r="O45" s="178"/>
      <c r="P45" s="178"/>
      <c r="Q45" s="179">
        <f>SUBTOTAL(9,Q35:Q43)</f>
        <v>1097017986.1657207</v>
      </c>
      <c r="R45" s="179">
        <f>SUBTOTAL(9,R35:R43)</f>
        <v>1097017986.1657207</v>
      </c>
      <c r="S45" s="247">
        <f t="shared" si="2"/>
        <v>0</v>
      </c>
      <c r="AD45" t="s">
        <v>642</v>
      </c>
      <c r="AE45" s="283">
        <f t="shared" si="1"/>
        <v>73.873101491517048</v>
      </c>
      <c r="AF45" s="278">
        <v>73.873101491517048</v>
      </c>
    </row>
    <row r="46" spans="2:32" ht="17.25" thickBot="1">
      <c r="B46" s="222" t="s">
        <v>643</v>
      </c>
      <c r="C46" s="123"/>
      <c r="D46" s="123"/>
      <c r="E46" s="123"/>
      <c r="F46" s="221">
        <f t="shared" si="0"/>
        <v>91781732.156127229</v>
      </c>
      <c r="G46" s="278"/>
      <c r="AD46" t="s">
        <v>643</v>
      </c>
      <c r="AE46" s="283">
        <f t="shared" si="1"/>
        <v>91.781732156127234</v>
      </c>
      <c r="AF46" s="278">
        <v>91.781732156127234</v>
      </c>
    </row>
    <row r="47" spans="2:32" ht="17.25" thickBot="1">
      <c r="B47" s="222" t="s">
        <v>644</v>
      </c>
      <c r="C47" s="123"/>
      <c r="D47" s="123"/>
      <c r="E47" s="123"/>
      <c r="F47" s="221">
        <f t="shared" si="0"/>
        <v>8954315.3323050961</v>
      </c>
      <c r="G47" s="278"/>
      <c r="H47" s="973" t="s">
        <v>684</v>
      </c>
      <c r="I47" s="974"/>
      <c r="J47" s="974"/>
      <c r="K47" s="974"/>
      <c r="L47" s="974"/>
      <c r="M47" s="975"/>
      <c r="AD47" t="s">
        <v>644</v>
      </c>
      <c r="AE47" s="283">
        <f t="shared" si="1"/>
        <v>8.9543153323050966</v>
      </c>
      <c r="AF47" s="278">
        <v>8.9543153323050966</v>
      </c>
    </row>
    <row r="48" spans="2:32">
      <c r="B48" s="222" t="s">
        <v>645</v>
      </c>
      <c r="C48" s="123"/>
      <c r="D48" s="123"/>
      <c r="E48" s="123"/>
      <c r="F48" s="221">
        <f t="shared" si="0"/>
        <v>49248734.327678032</v>
      </c>
      <c r="G48" s="278"/>
      <c r="H48" s="169" t="s">
        <v>679</v>
      </c>
      <c r="I48" s="170"/>
      <c r="J48" s="170"/>
      <c r="K48" s="170"/>
      <c r="L48" s="170"/>
      <c r="M48" s="171">
        <f>F34</f>
        <v>1128243731.8704424</v>
      </c>
      <c r="P48" s="44">
        <f>13.11/10^6</f>
        <v>1.311E-5</v>
      </c>
      <c r="AD48" t="s">
        <v>645</v>
      </c>
      <c r="AE48" s="283">
        <f t="shared" si="1"/>
        <v>49.248734327678029</v>
      </c>
      <c r="AF48" s="278">
        <v>49.248734327678029</v>
      </c>
    </row>
    <row r="49" spans="2:32">
      <c r="B49" s="222" t="s">
        <v>646</v>
      </c>
      <c r="C49" s="123"/>
      <c r="D49" s="123"/>
      <c r="E49" s="123"/>
      <c r="F49" s="221">
        <f t="shared" si="0"/>
        <v>98497468.655356064</v>
      </c>
      <c r="G49" s="278"/>
      <c r="H49" s="172" t="s">
        <v>667</v>
      </c>
      <c r="M49" s="173">
        <v>0.08</v>
      </c>
      <c r="AD49" t="s">
        <v>646</v>
      </c>
      <c r="AE49" s="283">
        <f t="shared" si="1"/>
        <v>98.497468655356059</v>
      </c>
      <c r="AF49" s="278">
        <v>98.497468655356059</v>
      </c>
    </row>
    <row r="50" spans="2:32">
      <c r="B50" s="223" t="s">
        <v>647</v>
      </c>
      <c r="C50" s="123"/>
      <c r="D50" s="123"/>
      <c r="E50" s="123"/>
      <c r="F50" s="224">
        <f>SUBTOTAL(9,F51:F59)</f>
        <v>1273992967.0509481</v>
      </c>
      <c r="G50" s="278"/>
      <c r="H50" s="172" t="s">
        <v>668</v>
      </c>
      <c r="M50" s="174">
        <f>30*1</f>
        <v>30</v>
      </c>
      <c r="O50" s="214"/>
      <c r="T50" s="44"/>
      <c r="AD50" t="s">
        <v>647</v>
      </c>
      <c r="AE50" s="283">
        <f t="shared" si="1"/>
        <v>1273.9929670509482</v>
      </c>
      <c r="AF50" s="278">
        <v>1193.9255914893618</v>
      </c>
    </row>
    <row r="51" spans="2:32">
      <c r="B51" s="225" t="s">
        <v>659</v>
      </c>
      <c r="C51" s="123"/>
      <c r="D51" s="123"/>
      <c r="E51" s="123"/>
      <c r="F51" s="221">
        <f>SUBTOTAL(9,F52:F53)</f>
        <v>1240283595.920948</v>
      </c>
      <c r="G51" s="278"/>
      <c r="H51" s="172" t="s">
        <v>712</v>
      </c>
      <c r="M51" s="175">
        <f>POWER(1+M49,M50)</f>
        <v>10.062656889073445</v>
      </c>
      <c r="AD51" t="s">
        <v>659</v>
      </c>
      <c r="AE51" s="283">
        <f t="shared" si="1"/>
        <v>1240.2835959209481</v>
      </c>
      <c r="AF51" s="278">
        <v>1160.2162203593616</v>
      </c>
    </row>
    <row r="52" spans="2:32">
      <c r="B52" s="222" t="s">
        <v>648</v>
      </c>
      <c r="C52" s="123"/>
      <c r="D52" s="123"/>
      <c r="E52" s="123"/>
      <c r="F52" s="221">
        <f>R35</f>
        <v>303066278.36371672</v>
      </c>
      <c r="G52" s="278"/>
      <c r="H52" s="172" t="s">
        <v>669</v>
      </c>
      <c r="M52" s="175">
        <f>M49*M51/(M51-1)</f>
        <v>8.8827433387272267E-2</v>
      </c>
      <c r="AD52" t="s">
        <v>648</v>
      </c>
      <c r="AE52" s="283">
        <f t="shared" si="1"/>
        <v>303.06627836371672</v>
      </c>
      <c r="AF52" s="278">
        <v>303.06627836371672</v>
      </c>
    </row>
    <row r="53" spans="2:32">
      <c r="B53" s="222" t="s">
        <v>649</v>
      </c>
      <c r="C53" s="123"/>
      <c r="D53" s="123"/>
      <c r="E53" s="123"/>
      <c r="F53" s="221">
        <f>R37</f>
        <v>937217317.55723131</v>
      </c>
      <c r="G53" s="278"/>
      <c r="H53" s="172" t="s">
        <v>743</v>
      </c>
      <c r="M53" s="196">
        <f>M48*M52</f>
        <v>100218994.93732919</v>
      </c>
      <c r="AD53" t="s">
        <v>649</v>
      </c>
      <c r="AE53" s="283">
        <f t="shared" si="1"/>
        <v>937.21731755723135</v>
      </c>
      <c r="AF53" s="278">
        <v>857.14994199564489</v>
      </c>
    </row>
    <row r="54" spans="2:32" ht="17.25" thickBot="1">
      <c r="B54" s="201" t="s">
        <v>660</v>
      </c>
      <c r="C54" s="123"/>
      <c r="D54" s="123"/>
      <c r="E54" s="123"/>
      <c r="F54" s="221">
        <f>SUBTOTAL(9,F55:F59)</f>
        <v>33709371.129999995</v>
      </c>
      <c r="G54" s="278"/>
      <c r="H54" s="176" t="s">
        <v>694</v>
      </c>
      <c r="I54" s="75"/>
      <c r="J54" s="75"/>
      <c r="K54" s="75"/>
      <c r="L54" s="75"/>
      <c r="M54" s="197">
        <f>35%*1</f>
        <v>0.35</v>
      </c>
      <c r="AD54" s="281" t="s">
        <v>167</v>
      </c>
      <c r="AE54" s="283">
        <f>Q38/10^6</f>
        <v>14.335462400000001</v>
      </c>
      <c r="AF54" s="278">
        <v>14.335462400000001</v>
      </c>
    </row>
    <row r="55" spans="2:32" ht="17.25" thickBot="1">
      <c r="B55" s="226" t="s">
        <v>613</v>
      </c>
      <c r="C55" s="123"/>
      <c r="D55" s="123"/>
      <c r="E55" s="123"/>
      <c r="F55" s="221">
        <v>760000</v>
      </c>
      <c r="G55" s="278"/>
      <c r="AD55" s="281" t="s">
        <v>596</v>
      </c>
      <c r="AE55" s="283">
        <f t="shared" ref="AE55:AE60" si="5">Q39/10^6</f>
        <v>86.286108211403999</v>
      </c>
      <c r="AF55" s="278">
        <v>78.800098823200017</v>
      </c>
    </row>
    <row r="56" spans="2:32">
      <c r="B56" s="226" t="s">
        <v>614</v>
      </c>
      <c r="C56" s="123"/>
      <c r="D56" s="123"/>
      <c r="E56" s="123"/>
      <c r="F56" s="221">
        <v>1980000</v>
      </c>
      <c r="G56" s="278"/>
      <c r="H56" s="184" t="s">
        <v>743</v>
      </c>
      <c r="I56" s="185"/>
      <c r="J56" s="185"/>
      <c r="K56" s="185"/>
      <c r="L56" s="185"/>
      <c r="M56" s="186">
        <f>M53</f>
        <v>100218994.93732919</v>
      </c>
      <c r="AD56" s="281" t="s">
        <v>183</v>
      </c>
      <c r="AE56" s="283">
        <f t="shared" si="5"/>
        <v>578.82008527200003</v>
      </c>
      <c r="AF56" s="278">
        <v>528.60281759999998</v>
      </c>
    </row>
    <row r="57" spans="2:32">
      <c r="B57" s="226" t="s">
        <v>615</v>
      </c>
      <c r="C57" s="123"/>
      <c r="D57" s="123"/>
      <c r="E57" s="123"/>
      <c r="F57" s="221">
        <v>190000</v>
      </c>
      <c r="G57" s="278"/>
      <c r="H57" s="61" t="s">
        <v>689</v>
      </c>
      <c r="M57" s="181">
        <f>M48/M50</f>
        <v>37608124.395681411</v>
      </c>
      <c r="R57" s="82" t="s">
        <v>738</v>
      </c>
      <c r="AD57" s="281" t="s">
        <v>185</v>
      </c>
      <c r="AE57" s="283">
        <f t="shared" si="5"/>
        <v>101.88414359999999</v>
      </c>
      <c r="AF57" s="278">
        <v>93.044880000000006</v>
      </c>
    </row>
    <row r="58" spans="2:32">
      <c r="B58" s="226" t="s">
        <v>616</v>
      </c>
      <c r="C58" s="123"/>
      <c r="D58" s="123"/>
      <c r="E58" s="123"/>
      <c r="F58" s="221">
        <v>1370000</v>
      </c>
      <c r="G58" s="278"/>
      <c r="H58" s="61" t="s">
        <v>690</v>
      </c>
      <c r="M58" s="181">
        <f>(M60-M57)*M54</f>
        <v>33713545.676271841</v>
      </c>
      <c r="R58" s="168">
        <f>S67/$S$65</f>
        <v>0.36974698196148764</v>
      </c>
      <c r="AD58" s="281" t="s">
        <v>598</v>
      </c>
      <c r="AE58" s="283">
        <f t="shared" si="5"/>
        <v>0.57234322860000009</v>
      </c>
      <c r="AF58" s="278">
        <v>0.52268787999999999</v>
      </c>
    </row>
    <row r="59" spans="2:32">
      <c r="B59" s="226" t="s">
        <v>617</v>
      </c>
      <c r="C59" s="123"/>
      <c r="D59" s="123"/>
      <c r="E59" s="123"/>
      <c r="F59" s="221">
        <v>29409371.129999999</v>
      </c>
      <c r="G59" s="278"/>
      <c r="H59" s="61" t="s">
        <v>691</v>
      </c>
      <c r="M59" s="181">
        <f>M60-M58</f>
        <v>100218994.93732913</v>
      </c>
      <c r="R59" s="168">
        <f>S69/$S$65</f>
        <v>1.2596046752206871E-2</v>
      </c>
      <c r="AD59" s="281" t="s">
        <v>599</v>
      </c>
      <c r="AE59" s="283">
        <f t="shared" si="5"/>
        <v>12.053565089999999</v>
      </c>
      <c r="AF59" s="278">
        <v>11.007822000000001</v>
      </c>
    </row>
    <row r="60" spans="2:32">
      <c r="B60" s="124" t="s">
        <v>695</v>
      </c>
      <c r="C60" s="123"/>
      <c r="D60" s="123"/>
      <c r="E60" s="123"/>
      <c r="F60" s="221">
        <f>M56</f>
        <v>100218994.93732919</v>
      </c>
      <c r="G60" s="278"/>
      <c r="H60" s="61" t="s">
        <v>692</v>
      </c>
      <c r="M60" s="181">
        <f>M62-M61</f>
        <v>133932540.61360097</v>
      </c>
      <c r="R60" s="168">
        <f>S70/$S$65</f>
        <v>4.3342550964062462E-2</v>
      </c>
      <c r="AD60" s="281" t="s">
        <v>705</v>
      </c>
      <c r="AE60" s="283">
        <f t="shared" si="5"/>
        <v>143.26560975522722</v>
      </c>
      <c r="AF60" s="278">
        <v>130.83617329244501</v>
      </c>
    </row>
    <row r="61" spans="2:32">
      <c r="B61" s="124" t="s">
        <v>696</v>
      </c>
      <c r="C61" s="123"/>
      <c r="D61" s="123"/>
      <c r="E61" s="123"/>
      <c r="F61" s="221">
        <f>M57</f>
        <v>37608124.395681411</v>
      </c>
      <c r="G61" s="278"/>
      <c r="H61" s="61" t="s">
        <v>693</v>
      </c>
      <c r="M61" s="181">
        <f>F50</f>
        <v>1273992967.0509481</v>
      </c>
      <c r="R61" s="168">
        <f>S68/$S$65</f>
        <v>0.2659218609502228</v>
      </c>
      <c r="AD61" t="s">
        <v>660</v>
      </c>
      <c r="AE61" s="283">
        <f>F54/10^6</f>
        <v>33.709371129999994</v>
      </c>
      <c r="AF61" s="278">
        <v>33.709371129999994</v>
      </c>
    </row>
    <row r="62" spans="2:32" ht="17.25" thickBot="1">
      <c r="B62" s="124" t="s">
        <v>697</v>
      </c>
      <c r="C62" s="123"/>
      <c r="D62" s="123"/>
      <c r="E62" s="123"/>
      <c r="F62" s="221">
        <f>M58</f>
        <v>33713545.676271841</v>
      </c>
      <c r="G62" s="278"/>
      <c r="H62" s="188" t="s">
        <v>846</v>
      </c>
      <c r="I62" s="75"/>
      <c r="J62" s="75"/>
      <c r="K62" s="75"/>
      <c r="L62" s="75"/>
      <c r="M62" s="189">
        <f>(M56-M54*M57+(1-M54)*M61)/(1-M54)</f>
        <v>1407925507.6645491</v>
      </c>
      <c r="R62" s="168">
        <f>S66/$S$65</f>
        <v>0.35173511033608273</v>
      </c>
      <c r="AD62" t="s">
        <v>743</v>
      </c>
      <c r="AE62" s="283">
        <f>F60/10^6</f>
        <v>100.21899493732919</v>
      </c>
      <c r="AF62" s="278">
        <v>100.21899493732919</v>
      </c>
    </row>
    <row r="63" spans="2:32" ht="17.25" thickBot="1">
      <c r="B63" s="124" t="s">
        <v>682</v>
      </c>
      <c r="C63" s="123"/>
      <c r="D63" s="123"/>
      <c r="E63" s="123"/>
      <c r="F63" s="221">
        <f>M60</f>
        <v>133932540.61360097</v>
      </c>
      <c r="G63" s="278"/>
      <c r="H63" s="170" t="s">
        <v>621</v>
      </c>
      <c r="AD63" s="49" t="s">
        <v>770</v>
      </c>
      <c r="AE63" s="282">
        <f>M62/10^6</f>
        <v>1407.9255076645491</v>
      </c>
      <c r="AF63" s="278">
        <v>1327.8581321029628</v>
      </c>
    </row>
    <row r="64" spans="2:32" ht="17.25" thickBot="1">
      <c r="B64" s="124" t="s">
        <v>698</v>
      </c>
      <c r="C64" s="123"/>
      <c r="D64" s="123"/>
      <c r="E64" s="123"/>
      <c r="F64" s="221">
        <f>M61</f>
        <v>1273992967.0509481</v>
      </c>
      <c r="G64" s="278"/>
      <c r="H64" s="959" t="s">
        <v>710</v>
      </c>
      <c r="I64" s="960"/>
      <c r="J64" s="960"/>
      <c r="K64" s="960"/>
      <c r="L64" s="960"/>
      <c r="M64" s="960"/>
      <c r="N64" s="960"/>
      <c r="O64" s="960"/>
      <c r="P64" s="960"/>
      <c r="Q64" s="960"/>
      <c r="R64" s="960"/>
      <c r="S64" s="960"/>
      <c r="T64" s="961"/>
      <c r="AD64" t="s">
        <v>622</v>
      </c>
      <c r="AE64" s="278">
        <f>AG81</f>
        <v>433.03511113264403</v>
      </c>
      <c r="AF64" s="278">
        <v>433.03511113264403</v>
      </c>
    </row>
    <row r="65" spans="2:33">
      <c r="B65" s="227" t="s">
        <v>701</v>
      </c>
      <c r="C65" s="228"/>
      <c r="D65" s="228"/>
      <c r="E65" s="228"/>
      <c r="F65" s="224">
        <f>M62</f>
        <v>1407925507.6645491</v>
      </c>
      <c r="G65" s="278"/>
      <c r="H65" s="232" t="s">
        <v>676</v>
      </c>
      <c r="I65" s="233"/>
      <c r="J65" s="233"/>
      <c r="K65" s="233" t="s">
        <v>650</v>
      </c>
      <c r="L65" s="233"/>
      <c r="M65" s="233" t="s">
        <v>674</v>
      </c>
      <c r="N65" s="233"/>
      <c r="O65" s="233"/>
      <c r="P65" s="233"/>
      <c r="Q65" s="233" t="s">
        <v>709</v>
      </c>
      <c r="R65" s="120"/>
      <c r="S65" s="242">
        <f>SUM(S66:S69)</f>
        <v>1349.4374463723416</v>
      </c>
      <c r="T65" s="234"/>
      <c r="U65" s="183" t="s">
        <v>702</v>
      </c>
      <c r="AD65" t="s">
        <v>629</v>
      </c>
      <c r="AE65" s="278">
        <f>AG77</f>
        <v>498.95042314199014</v>
      </c>
      <c r="AF65" s="278">
        <v>498.95042314199014</v>
      </c>
    </row>
    <row r="66" spans="2:33">
      <c r="B66" s="124"/>
      <c r="C66" s="229" t="s">
        <v>629</v>
      </c>
      <c r="D66" s="123"/>
      <c r="E66" s="123"/>
      <c r="F66" s="221">
        <f>Q67</f>
        <v>498950423.14199013</v>
      </c>
      <c r="G66" s="278"/>
      <c r="H66" s="235" t="s">
        <v>622</v>
      </c>
      <c r="I66" s="123"/>
      <c r="J66" s="123"/>
      <c r="K66" s="284">
        <f>(M62-Q67+37.031/1000*M70+37.031/1000*0.5/0.65*M69)/((0.65*M68+M66)+M70*0.695+M69*0.5/0.65*0.695)</f>
        <v>0.9747468467920154</v>
      </c>
      <c r="L66" s="123" t="s">
        <v>664</v>
      </c>
      <c r="M66" s="237">
        <f>'Previous_Technical performance'!H59*8000</f>
        <v>486941333.18155122</v>
      </c>
      <c r="N66" s="123" t="s">
        <v>677</v>
      </c>
      <c r="O66" s="238">
        <f>M66/10^6</f>
        <v>486.94133318155122</v>
      </c>
      <c r="P66" s="123" t="s">
        <v>678</v>
      </c>
      <c r="Q66" s="237">
        <f>M66*K66</f>
        <v>474644529.09141725</v>
      </c>
      <c r="R66" s="123" t="s">
        <v>683</v>
      </c>
      <c r="S66" s="243">
        <f>Q66/10^6</f>
        <v>474.64452909141727</v>
      </c>
      <c r="T66" s="126" t="s">
        <v>735</v>
      </c>
      <c r="U66" s="183" t="s">
        <v>699</v>
      </c>
      <c r="AD66" t="s">
        <v>719</v>
      </c>
      <c r="AE66" s="278">
        <f>AG80</f>
        <v>327.3870001182143</v>
      </c>
      <c r="AF66" s="278">
        <v>327.3870001182143</v>
      </c>
    </row>
    <row r="67" spans="2:33">
      <c r="B67" s="140"/>
      <c r="C67" s="229" t="s">
        <v>688</v>
      </c>
      <c r="D67" s="123"/>
      <c r="E67" s="123"/>
      <c r="F67" s="221">
        <f>Q69</f>
        <v>16997577.163684666</v>
      </c>
      <c r="G67" s="278"/>
      <c r="H67" s="235" t="s">
        <v>629</v>
      </c>
      <c r="I67" s="123"/>
      <c r="J67" s="123"/>
      <c r="K67" s="236">
        <f>0.1515*M36+0.9287</f>
        <v>1.424105</v>
      </c>
      <c r="L67" s="123" t="s">
        <v>664</v>
      </c>
      <c r="M67" s="237">
        <f>'Previous_Technical performance'!L59*8000</f>
        <v>350360698.92458081</v>
      </c>
      <c r="N67" s="123" t="s">
        <v>677</v>
      </c>
      <c r="O67" s="238">
        <f>M67/10^6</f>
        <v>350.36069892458079</v>
      </c>
      <c r="P67" s="123" t="s">
        <v>678</v>
      </c>
      <c r="Q67" s="237">
        <f>M67*K67</f>
        <v>498950423.14199013</v>
      </c>
      <c r="R67" s="123" t="s">
        <v>683</v>
      </c>
      <c r="S67" s="243">
        <f>Q67/10^6</f>
        <v>498.95042314199014</v>
      </c>
      <c r="T67" s="126" t="s">
        <v>735</v>
      </c>
      <c r="U67" s="183" t="s">
        <v>717</v>
      </c>
      <c r="AD67" t="s">
        <v>688</v>
      </c>
      <c r="AE67" s="280">
        <f>AG78</f>
        <v>15.421333852252342</v>
      </c>
      <c r="AF67" s="278">
        <v>15.421333852252342</v>
      </c>
    </row>
    <row r="68" spans="2:33">
      <c r="B68" s="140"/>
      <c r="C68" s="229" t="s">
        <v>625</v>
      </c>
      <c r="D68" s="123"/>
      <c r="E68" s="123"/>
      <c r="F68" s="221">
        <f>Q70</f>
        <v>58488061.292207517</v>
      </c>
      <c r="G68" s="278"/>
      <c r="H68" s="235" t="s">
        <v>719</v>
      </c>
      <c r="I68" s="123"/>
      <c r="J68" s="123"/>
      <c r="K68" s="236">
        <f>K66*0.65</f>
        <v>0.63358545041481007</v>
      </c>
      <c r="L68" s="123" t="s">
        <v>664</v>
      </c>
      <c r="M68" s="237">
        <f>'Previous_Technical performance'!I59*8000</f>
        <v>566371776.27786875</v>
      </c>
      <c r="N68" s="123" t="s">
        <v>677</v>
      </c>
      <c r="O68" s="238">
        <f>M68/10^6</f>
        <v>566.37177627786878</v>
      </c>
      <c r="P68" s="123" t="s">
        <v>678</v>
      </c>
      <c r="Q68" s="237">
        <f>M68*K68</f>
        <v>358844916.97524953</v>
      </c>
      <c r="R68" s="123" t="s">
        <v>683</v>
      </c>
      <c r="S68" s="243">
        <f>Q68/10^6</f>
        <v>358.84491697524953</v>
      </c>
      <c r="T68" s="126" t="s">
        <v>735</v>
      </c>
      <c r="U68" s="183" t="s">
        <v>718</v>
      </c>
      <c r="AD68" t="s">
        <v>625</v>
      </c>
      <c r="AE68" s="280">
        <f>AG79</f>
        <v>53.064263857861818</v>
      </c>
      <c r="AF68" s="278">
        <v>53.064263857861818</v>
      </c>
    </row>
    <row r="69" spans="2:33">
      <c r="B69" s="140"/>
      <c r="C69" s="229" t="s">
        <v>719</v>
      </c>
      <c r="D69" s="123"/>
      <c r="E69" s="123"/>
      <c r="F69" s="221">
        <f>Q68</f>
        <v>358844916.97524953</v>
      </c>
      <c r="G69" s="278"/>
      <c r="H69" s="235" t="s">
        <v>688</v>
      </c>
      <c r="I69" s="123"/>
      <c r="J69" s="123"/>
      <c r="K69" s="236">
        <f>K70*0.5/0.65</f>
        <v>0.49262927578496202</v>
      </c>
      <c r="L69" s="123" t="s">
        <v>664</v>
      </c>
      <c r="M69" s="237">
        <f>'Previous_Technical performance'!J59*8000</f>
        <v>34503790.170814559</v>
      </c>
      <c r="N69" s="123" t="s">
        <v>677</v>
      </c>
      <c r="O69" s="238">
        <f>M69/10^6</f>
        <v>34.503790170814561</v>
      </c>
      <c r="P69" s="123" t="s">
        <v>678</v>
      </c>
      <c r="Q69" s="237">
        <f>M69*K69</f>
        <v>16997577.163684666</v>
      </c>
      <c r="R69" s="123" t="s">
        <v>683</v>
      </c>
      <c r="S69" s="243">
        <f>Q69/10^6</f>
        <v>16.997577163684667</v>
      </c>
      <c r="T69" s="126" t="s">
        <v>735</v>
      </c>
    </row>
    <row r="70" spans="2:33" ht="17.25" thickBot="1">
      <c r="B70" s="230"/>
      <c r="C70" s="231" t="s">
        <v>622</v>
      </c>
      <c r="D70" s="122"/>
      <c r="E70" s="122"/>
      <c r="F70" s="193">
        <f>Q66</f>
        <v>474644529.09141725</v>
      </c>
      <c r="G70" s="278"/>
      <c r="H70" s="239" t="s">
        <v>625</v>
      </c>
      <c r="I70" s="122"/>
      <c r="J70" s="122"/>
      <c r="K70" s="285">
        <f>0.695*K66-37.031/1000</f>
        <v>0.64041805852045064</v>
      </c>
      <c r="L70" s="122" t="s">
        <v>664</v>
      </c>
      <c r="M70" s="240">
        <f>'Previous_Technical performance'!K59*8000</f>
        <v>91327938.858144805</v>
      </c>
      <c r="N70" s="122" t="s">
        <v>677</v>
      </c>
      <c r="O70" s="241">
        <f>M70/10^6</f>
        <v>91.327938858144805</v>
      </c>
      <c r="P70" s="122" t="s">
        <v>678</v>
      </c>
      <c r="Q70" s="240">
        <f>M70*K70</f>
        <v>58488061.292207517</v>
      </c>
      <c r="R70" s="122" t="s">
        <v>683</v>
      </c>
      <c r="S70" s="244">
        <f>Q70/10^6</f>
        <v>58.488061292207519</v>
      </c>
      <c r="T70" s="128" t="s">
        <v>735</v>
      </c>
    </row>
    <row r="71" spans="2:33">
      <c r="F71" s="195"/>
    </row>
    <row r="72" spans="2:33" ht="17.25" thickBot="1"/>
    <row r="73" spans="2:33" ht="17.25" thickBot="1">
      <c r="D73" s="272"/>
      <c r="E73" s="275" t="s">
        <v>741</v>
      </c>
      <c r="F73" s="276" t="s">
        <v>742</v>
      </c>
    </row>
    <row r="74" spans="2:33">
      <c r="D74" s="113" t="s">
        <v>757</v>
      </c>
      <c r="E74" s="273"/>
      <c r="F74" s="115">
        <f>(F35/F34)*M56/M62</f>
        <v>5.0844306743579738E-2</v>
      </c>
    </row>
    <row r="75" spans="2:33">
      <c r="D75" s="113" t="s">
        <v>758</v>
      </c>
      <c r="E75" s="273"/>
      <c r="F75" s="115">
        <f>(F44/F34)*M56/M62</f>
        <v>2.0337722697431889E-2</v>
      </c>
    </row>
    <row r="76" spans="2:33">
      <c r="D76" s="113" t="s">
        <v>759</v>
      </c>
      <c r="E76" s="273"/>
      <c r="F76" s="115">
        <f>F51/M62</f>
        <v>0.88092984264367535</v>
      </c>
      <c r="AE76" t="s">
        <v>767</v>
      </c>
      <c r="AF76" t="s">
        <v>768</v>
      </c>
      <c r="AG76" t="s">
        <v>769</v>
      </c>
    </row>
    <row r="77" spans="2:33">
      <c r="D77" s="113" t="s">
        <v>760</v>
      </c>
      <c r="E77" s="273"/>
      <c r="F77" s="115">
        <f>F54/M62</f>
        <v>2.3942581440914951E-2</v>
      </c>
      <c r="AD77" t="s">
        <v>629</v>
      </c>
      <c r="AE77" s="278">
        <v>350.36069892458079</v>
      </c>
      <c r="AF77" s="168">
        <v>1.424105</v>
      </c>
      <c r="AG77" s="278">
        <v>498.95042314199014</v>
      </c>
    </row>
    <row r="78" spans="2:33">
      <c r="D78" s="113" t="s">
        <v>697</v>
      </c>
      <c r="E78" s="273"/>
      <c r="F78" s="115">
        <f>M58/M62</f>
        <v>2.3945546474397988E-2</v>
      </c>
      <c r="Q78" s="187"/>
      <c r="AD78" t="s">
        <v>688</v>
      </c>
      <c r="AE78" s="278">
        <v>34.503790170814561</v>
      </c>
      <c r="AF78" s="168">
        <v>0.4469460826160675</v>
      </c>
      <c r="AG78" s="278">
        <v>15.421333852252342</v>
      </c>
    </row>
    <row r="79" spans="2:33">
      <c r="D79" s="113" t="s">
        <v>587</v>
      </c>
      <c r="E79" s="273">
        <v>0.32611549431627562</v>
      </c>
      <c r="F79" s="115"/>
      <c r="Q79" s="44"/>
      <c r="AD79" t="s">
        <v>625</v>
      </c>
      <c r="AE79" s="278">
        <v>91.327938858144805</v>
      </c>
      <c r="AF79" s="168">
        <v>0.58102990740088778</v>
      </c>
      <c r="AG79" s="278">
        <v>53.064263857861818</v>
      </c>
    </row>
    <row r="80" spans="2:33">
      <c r="D80" s="113" t="s">
        <v>739</v>
      </c>
      <c r="E80" s="273">
        <v>1.161369086005384E-2</v>
      </c>
      <c r="F80" s="115"/>
      <c r="AD80" t="s">
        <v>719</v>
      </c>
      <c r="AE80" s="278">
        <v>566.37177627786878</v>
      </c>
      <c r="AF80" s="168">
        <v>0.57804257526701741</v>
      </c>
      <c r="AG80" s="278">
        <v>327.3870001182143</v>
      </c>
    </row>
    <row r="81" spans="4:33">
      <c r="D81" s="113" t="s">
        <v>589</v>
      </c>
      <c r="E81" s="273">
        <v>3.9962299115360013E-2</v>
      </c>
      <c r="F81" s="115"/>
      <c r="AD81" t="s">
        <v>622</v>
      </c>
      <c r="AE81" s="278">
        <v>486.94133318155122</v>
      </c>
      <c r="AF81" s="168">
        <v>0.88929626964156527</v>
      </c>
      <c r="AG81" s="278">
        <v>433.03511113264403</v>
      </c>
    </row>
    <row r="82" spans="4:33">
      <c r="D82" s="113" t="s">
        <v>740</v>
      </c>
      <c r="E82" s="273">
        <v>0.24655269430004786</v>
      </c>
      <c r="F82" s="115"/>
    </row>
    <row r="83" spans="4:33" ht="17.25" thickBot="1">
      <c r="D83" s="116" t="s">
        <v>591</v>
      </c>
      <c r="E83" s="274">
        <v>0.37575582140826275</v>
      </c>
      <c r="F83" s="118"/>
    </row>
    <row r="84" spans="4:33" ht="17.25" thickBot="1"/>
    <row r="85" spans="4:33" ht="17.25" thickBot="1">
      <c r="D85" s="976" t="s">
        <v>659</v>
      </c>
      <c r="E85" s="977"/>
      <c r="F85" s="978"/>
    </row>
    <row r="86" spans="4:33">
      <c r="D86" s="110" t="s">
        <v>762</v>
      </c>
      <c r="E86" s="111"/>
      <c r="F86" s="112">
        <f>R36/F51</f>
        <v>0.24435240404730246</v>
      </c>
    </row>
    <row r="87" spans="4:33">
      <c r="D87" s="113" t="s">
        <v>596</v>
      </c>
      <c r="E87" s="114"/>
      <c r="F87" s="115">
        <f t="shared" ref="F87:F92" si="6">R39/$F$51</f>
        <v>6.9569660112559953E-2</v>
      </c>
    </row>
    <row r="88" spans="4:33">
      <c r="D88" s="113" t="s">
        <v>183</v>
      </c>
      <c r="E88" s="114"/>
      <c r="F88" s="115">
        <f t="shared" si="6"/>
        <v>0.46668365781473442</v>
      </c>
    </row>
    <row r="89" spans="4:33">
      <c r="D89" s="113" t="s">
        <v>185</v>
      </c>
      <c r="E89" s="114"/>
      <c r="F89" s="115">
        <f t="shared" si="6"/>
        <v>8.214584465607476E-2</v>
      </c>
    </row>
    <row r="90" spans="4:33">
      <c r="D90" s="113" t="s">
        <v>598</v>
      </c>
      <c r="E90" s="114"/>
      <c r="F90" s="115">
        <f t="shared" si="6"/>
        <v>4.6146158062746763E-4</v>
      </c>
    </row>
    <row r="91" spans="4:33">
      <c r="D91" s="113" t="s">
        <v>599</v>
      </c>
      <c r="E91" s="114"/>
      <c r="F91" s="115">
        <f t="shared" si="6"/>
        <v>9.7183943491971E-3</v>
      </c>
    </row>
    <row r="92" spans="4:33">
      <c r="D92" s="113" t="s">
        <v>761</v>
      </c>
      <c r="E92" s="114"/>
      <c r="F92" s="115">
        <f t="shared" si="6"/>
        <v>0.11551036410253267</v>
      </c>
    </row>
    <row r="93" spans="4:33" ht="17.25" thickBot="1">
      <c r="D93" s="116" t="s">
        <v>737</v>
      </c>
      <c r="E93" s="117"/>
      <c r="F93" s="118">
        <f>1-SUM(F86:F92)</f>
        <v>1.1558213336971268E-2</v>
      </c>
    </row>
    <row r="94" spans="4:33">
      <c r="F94" s="271"/>
    </row>
    <row r="97" spans="1:9">
      <c r="E97" s="248"/>
      <c r="F97"/>
    </row>
    <row r="99" spans="1:9" ht="20.25">
      <c r="A99" s="45" t="s">
        <v>732</v>
      </c>
    </row>
    <row r="101" spans="1:9" ht="17.25" thickBot="1"/>
    <row r="102" spans="1:9">
      <c r="B102" s="261" t="s">
        <v>751</v>
      </c>
      <c r="C102" s="262"/>
      <c r="D102" s="263">
        <v>1327.8581321029628</v>
      </c>
      <c r="F102"/>
    </row>
    <row r="103" spans="1:9" ht="17.25" thickBot="1">
      <c r="B103" s="264" t="s">
        <v>752</v>
      </c>
      <c r="C103" s="265"/>
      <c r="D103" s="266">
        <f>M62/10^6</f>
        <v>1407.9255076645491</v>
      </c>
      <c r="F103"/>
    </row>
    <row r="104" spans="1:9" ht="17.25" thickBot="1">
      <c r="B104" s="82"/>
    </row>
    <row r="105" spans="1:9" ht="17.25" thickBot="1">
      <c r="B105" s="964" t="s">
        <v>756</v>
      </c>
      <c r="C105" s="965"/>
      <c r="D105" s="965"/>
      <c r="E105" s="965"/>
      <c r="F105" s="965"/>
      <c r="G105" s="965"/>
      <c r="H105" s="965"/>
      <c r="I105" s="966"/>
    </row>
    <row r="106" spans="1:9">
      <c r="B106" s="249"/>
      <c r="C106" s="250"/>
      <c r="D106" s="962" t="s">
        <v>753</v>
      </c>
      <c r="E106" s="962"/>
      <c r="F106" s="962" t="s">
        <v>754</v>
      </c>
      <c r="G106" s="962"/>
      <c r="H106" s="962" t="s">
        <v>755</v>
      </c>
      <c r="I106" s="963"/>
    </row>
    <row r="107" spans="1:9">
      <c r="B107" s="251"/>
      <c r="C107" s="252"/>
      <c r="D107" s="253">
        <v>-0.2</v>
      </c>
      <c r="E107" s="253">
        <v>0.2</v>
      </c>
      <c r="F107" s="253">
        <v>-0.2</v>
      </c>
      <c r="G107" s="253">
        <v>0.2</v>
      </c>
      <c r="H107" s="253">
        <v>-0.2</v>
      </c>
      <c r="I107" s="254">
        <v>0.2</v>
      </c>
    </row>
    <row r="108" spans="1:9">
      <c r="B108" s="251" t="s">
        <v>694</v>
      </c>
      <c r="C108" s="252"/>
      <c r="D108" s="255">
        <v>1318.4932583039986</v>
      </c>
      <c r="E108" s="255">
        <v>1339.4834926809876</v>
      </c>
      <c r="F108" s="256">
        <f t="shared" ref="F108:G114" si="7">D108-$D$102</f>
        <v>-9.3648737989642541</v>
      </c>
      <c r="G108" s="256">
        <f t="shared" si="7"/>
        <v>11.625360578024811</v>
      </c>
      <c r="H108" s="267">
        <f>(D108-$D$102)/$D$102</f>
        <v>-7.0526162189727785E-3</v>
      </c>
      <c r="I108" s="268">
        <f>(E108-$D$102)/$D$102</f>
        <v>8.7549718580353392E-3</v>
      </c>
    </row>
    <row r="109" spans="1:9">
      <c r="B109" s="251" t="s">
        <v>721</v>
      </c>
      <c r="C109" s="252"/>
      <c r="D109" s="255">
        <v>1305.2198726630386</v>
      </c>
      <c r="E109" s="255">
        <v>1351.6877773019855</v>
      </c>
      <c r="F109" s="256">
        <f t="shared" si="7"/>
        <v>-22.638259439924241</v>
      </c>
      <c r="G109" s="256">
        <f t="shared" si="7"/>
        <v>23.829645199022707</v>
      </c>
      <c r="H109" s="267">
        <f t="shared" ref="H109:H114" si="8">(D109-$D$102)/$D$102</f>
        <v>-1.7048703391281304E-2</v>
      </c>
      <c r="I109" s="268">
        <f t="shared" ref="I109:I114" si="9">(E109-$D$102)/$D$102</f>
        <v>1.7945927070750465E-2</v>
      </c>
    </row>
    <row r="110" spans="1:9">
      <c r="B110" s="251" t="s">
        <v>747</v>
      </c>
      <c r="C110" s="252"/>
      <c r="D110" s="255">
        <v>1333.4713382923242</v>
      </c>
      <c r="E110" s="255">
        <v>1325.1879873257958</v>
      </c>
      <c r="F110" s="256">
        <f t="shared" si="7"/>
        <v>5.6132061893613354</v>
      </c>
      <c r="G110" s="256">
        <f t="shared" si="7"/>
        <v>-2.6701447771670246</v>
      </c>
      <c r="H110" s="267">
        <f t="shared" si="8"/>
        <v>4.2272634806788867E-3</v>
      </c>
      <c r="I110" s="268">
        <f t="shared" si="9"/>
        <v>-2.0108660048933453E-3</v>
      </c>
    </row>
    <row r="111" spans="1:9">
      <c r="B111" s="251" t="s">
        <v>746</v>
      </c>
      <c r="C111" s="252"/>
      <c r="D111" s="255">
        <v>1267.2448764302194</v>
      </c>
      <c r="E111" s="255">
        <v>1388.471387775706</v>
      </c>
      <c r="F111" s="256">
        <f t="shared" si="7"/>
        <v>-60.613255672743435</v>
      </c>
      <c r="G111" s="256">
        <f t="shared" si="7"/>
        <v>60.613255672743207</v>
      </c>
      <c r="H111" s="267">
        <f t="shared" si="8"/>
        <v>-4.5647388231714686E-2</v>
      </c>
      <c r="I111" s="268">
        <f t="shared" si="9"/>
        <v>4.564738823171452E-2</v>
      </c>
    </row>
    <row r="112" spans="1:9">
      <c r="B112" s="251" t="s">
        <v>749</v>
      </c>
      <c r="C112" s="252"/>
      <c r="D112" s="255">
        <v>1222.1375685829628</v>
      </c>
      <c r="E112" s="255">
        <v>1433.5786956229626</v>
      </c>
      <c r="F112" s="256">
        <f t="shared" si="7"/>
        <v>-105.72056352000004</v>
      </c>
      <c r="G112" s="256">
        <f t="shared" si="7"/>
        <v>105.72056351999981</v>
      </c>
      <c r="H112" s="267">
        <f t="shared" si="8"/>
        <v>-7.9617363454759796E-2</v>
      </c>
      <c r="I112" s="268">
        <f t="shared" si="9"/>
        <v>7.9617363454759629E-2</v>
      </c>
    </row>
    <row r="113" spans="2:9">
      <c r="B113" s="251" t="s">
        <v>750</v>
      </c>
      <c r="C113" s="252"/>
      <c r="D113" s="255">
        <v>1309.2491561029628</v>
      </c>
      <c r="E113" s="255">
        <v>1346.4671081029628</v>
      </c>
      <c r="F113" s="256">
        <f t="shared" si="7"/>
        <v>-18.608975999999984</v>
      </c>
      <c r="G113" s="256">
        <f t="shared" si="7"/>
        <v>18.608975999999984</v>
      </c>
      <c r="H113" s="267">
        <f t="shared" si="8"/>
        <v>-1.4014280253364472E-2</v>
      </c>
      <c r="I113" s="268">
        <f t="shared" si="9"/>
        <v>1.4014280253364472E-2</v>
      </c>
    </row>
    <row r="114" spans="2:9" ht="17.25" thickBot="1">
      <c r="B114" s="257" t="s">
        <v>748</v>
      </c>
      <c r="C114" s="258"/>
      <c r="D114" s="259">
        <v>1312.0981123383231</v>
      </c>
      <c r="E114" s="259">
        <v>1343.6181518676028</v>
      </c>
      <c r="F114" s="260">
        <f t="shared" si="7"/>
        <v>-15.760019764639765</v>
      </c>
      <c r="G114" s="260">
        <f t="shared" si="7"/>
        <v>15.760019764639992</v>
      </c>
      <c r="H114" s="269">
        <f t="shared" si="8"/>
        <v>-1.1868752680439E-2</v>
      </c>
      <c r="I114" s="270">
        <f t="shared" si="9"/>
        <v>1.1868752680439172E-2</v>
      </c>
    </row>
    <row r="116" spans="2:9">
      <c r="E116" s="162"/>
    </row>
    <row r="117" spans="2:9">
      <c r="C117" s="214">
        <f>F65</f>
        <v>1407925507.6645491</v>
      </c>
      <c r="D117" t="s">
        <v>742</v>
      </c>
    </row>
    <row r="118" spans="2:9">
      <c r="B118" s="168">
        <f t="shared" ref="B118:B126" si="10">C118/$C$117</f>
        <v>7.1182029441011638E-2</v>
      </c>
      <c r="C118" s="214">
        <f>M56</f>
        <v>100218994.93732919</v>
      </c>
      <c r="D118" t="s">
        <v>743</v>
      </c>
    </row>
    <row r="119" spans="2:9">
      <c r="B119" s="168">
        <f t="shared" si="10"/>
        <v>2.3942581440914951E-2</v>
      </c>
      <c r="C119" s="214">
        <f>F54</f>
        <v>33709371.129999995</v>
      </c>
      <c r="D119" t="s">
        <v>660</v>
      </c>
    </row>
    <row r="120" spans="2:9">
      <c r="B120" s="168">
        <f t="shared" si="10"/>
        <v>0.31701385171955171</v>
      </c>
      <c r="C120" s="44">
        <f>R36+R44</f>
        <v>446331888.11894393</v>
      </c>
      <c r="D120" t="s">
        <v>744</v>
      </c>
    </row>
    <row r="121" spans="2:9">
      <c r="B121" s="168">
        <f t="shared" si="10"/>
        <v>6.1285989735731412E-2</v>
      </c>
      <c r="C121" s="44">
        <f>R39</f>
        <v>86286108.211403996</v>
      </c>
      <c r="D121" t="s">
        <v>596</v>
      </c>
    </row>
    <row r="122" spans="2:9">
      <c r="B122" s="168">
        <f t="shared" si="10"/>
        <v>0.41111556124310888</v>
      </c>
      <c r="C122" s="44">
        <f>R40</f>
        <v>578820085.27200007</v>
      </c>
      <c r="D122" t="s">
        <v>183</v>
      </c>
    </row>
    <row r="123" spans="2:9">
      <c r="B123" s="168">
        <f t="shared" si="10"/>
        <v>8.9677388823956403E-3</v>
      </c>
      <c r="C123" s="44">
        <f>R42+R43</f>
        <v>12625908.318599999</v>
      </c>
      <c r="D123" t="s">
        <v>736</v>
      </c>
    </row>
    <row r="124" spans="2:9">
      <c r="B124" s="168">
        <f t="shared" si="10"/>
        <v>7.2364726006707736E-2</v>
      </c>
      <c r="C124" s="44">
        <f>R41</f>
        <v>101884143.59999999</v>
      </c>
      <c r="D124" t="s">
        <v>185</v>
      </c>
    </row>
    <row r="125" spans="2:9">
      <c r="B125" s="168">
        <f t="shared" si="10"/>
        <v>2.3945546474397988E-2</v>
      </c>
      <c r="C125" s="214">
        <f>M58</f>
        <v>33713545.676271841</v>
      </c>
      <c r="D125" t="s">
        <v>697</v>
      </c>
    </row>
    <row r="126" spans="2:9">
      <c r="B126" s="168">
        <f t="shared" si="10"/>
        <v>1.0181975056180065E-2</v>
      </c>
      <c r="C126" s="214">
        <f>C117-SUM(C118:C125)</f>
        <v>14335462.400000095</v>
      </c>
      <c r="D126" t="s">
        <v>737</v>
      </c>
    </row>
  </sheetData>
  <mergeCells count="13">
    <mergeCell ref="D106:E106"/>
    <mergeCell ref="F106:G106"/>
    <mergeCell ref="H106:I106"/>
    <mergeCell ref="B105:I105"/>
    <mergeCell ref="B33:F33"/>
    <mergeCell ref="H33:S33"/>
    <mergeCell ref="H47:M47"/>
    <mergeCell ref="D85:F85"/>
    <mergeCell ref="H3:L3"/>
    <mergeCell ref="H25:K25"/>
    <mergeCell ref="B3:F3"/>
    <mergeCell ref="B13:F13"/>
    <mergeCell ref="H64:T64"/>
  </mergeCells>
  <phoneticPr fontId="8" type="noConversion"/>
  <hyperlinks>
    <hyperlink ref="M4" r:id="rId1" xr:uid="{00000000-0004-0000-0200-000000000000}"/>
  </hyperlinks>
  <pageMargins left="0.7" right="0.7" top="0.75" bottom="0.75" header="0.3" footer="0.3"/>
  <pageSetup paperSize="9" orientation="portrait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5"/>
  <sheetViews>
    <sheetView topLeftCell="A16" zoomScaleNormal="100" workbookViewId="0">
      <selection activeCell="H45" sqref="H45"/>
    </sheetView>
  </sheetViews>
  <sheetFormatPr defaultRowHeight="16.5"/>
  <cols>
    <col min="1" max="1" width="4.5" customWidth="1"/>
    <col min="2" max="2" width="17.5" style="49" bestFit="1" customWidth="1"/>
    <col min="3" max="3" width="16.5" bestFit="1" customWidth="1"/>
    <col min="4" max="4" width="15.5" bestFit="1" customWidth="1"/>
    <col min="5" max="5" width="15.125" bestFit="1" customWidth="1"/>
    <col min="6" max="6" width="17.875" bestFit="1" customWidth="1"/>
    <col min="7" max="7" width="15.75" bestFit="1" customWidth="1"/>
    <col min="10" max="10" width="16.5" bestFit="1" customWidth="1"/>
    <col min="11" max="11" width="20.75" bestFit="1" customWidth="1"/>
  </cols>
  <sheetData>
    <row r="1" spans="1:16">
      <c r="A1" t="s">
        <v>507</v>
      </c>
    </row>
    <row r="2" spans="1:16">
      <c r="J2" s="311" t="s">
        <v>845</v>
      </c>
    </row>
    <row r="3" spans="1:16">
      <c r="A3" t="s">
        <v>508</v>
      </c>
      <c r="B3" s="49" t="s">
        <v>509</v>
      </c>
      <c r="C3" t="s">
        <v>510</v>
      </c>
      <c r="D3" t="s">
        <v>511</v>
      </c>
      <c r="E3" s="50" t="s">
        <v>512</v>
      </c>
      <c r="F3" t="s">
        <v>513</v>
      </c>
      <c r="G3" t="s">
        <v>514</v>
      </c>
      <c r="J3" t="s">
        <v>839</v>
      </c>
      <c r="K3" t="s">
        <v>840</v>
      </c>
      <c r="L3" t="s">
        <v>841</v>
      </c>
      <c r="M3" t="s">
        <v>842</v>
      </c>
      <c r="N3" t="s">
        <v>843</v>
      </c>
    </row>
    <row r="4" spans="1:16">
      <c r="D4" t="s">
        <v>515</v>
      </c>
      <c r="E4" s="50" t="s">
        <v>515</v>
      </c>
      <c r="F4" t="s">
        <v>516</v>
      </c>
      <c r="G4" t="s">
        <v>516</v>
      </c>
      <c r="J4" t="s">
        <v>143</v>
      </c>
      <c r="K4">
        <v>0</v>
      </c>
      <c r="L4">
        <v>0</v>
      </c>
      <c r="M4">
        <v>0</v>
      </c>
      <c r="N4">
        <v>0</v>
      </c>
    </row>
    <row r="5" spans="1:16">
      <c r="E5" s="50"/>
      <c r="J5" t="s">
        <v>163</v>
      </c>
      <c r="K5">
        <v>0</v>
      </c>
      <c r="L5">
        <v>0</v>
      </c>
      <c r="M5">
        <v>0</v>
      </c>
      <c r="N5">
        <v>0</v>
      </c>
    </row>
    <row r="6" spans="1:16">
      <c r="E6" s="50"/>
      <c r="J6" t="s">
        <v>828</v>
      </c>
      <c r="K6">
        <v>34300</v>
      </c>
      <c r="L6">
        <v>174800</v>
      </c>
      <c r="M6">
        <v>2300</v>
      </c>
      <c r="N6">
        <v>8824</v>
      </c>
    </row>
    <row r="7" spans="1:16">
      <c r="E7" s="50"/>
      <c r="J7" t="s">
        <v>158</v>
      </c>
      <c r="K7">
        <v>0</v>
      </c>
      <c r="L7">
        <v>0</v>
      </c>
      <c r="M7">
        <v>0</v>
      </c>
      <c r="N7">
        <v>0</v>
      </c>
    </row>
    <row r="8" spans="1:16">
      <c r="E8" s="50"/>
      <c r="J8" t="s">
        <v>146</v>
      </c>
      <c r="K8">
        <v>15629000</v>
      </c>
      <c r="L8">
        <v>43390000</v>
      </c>
      <c r="M8">
        <v>950000</v>
      </c>
      <c r="N8">
        <v>1690049</v>
      </c>
    </row>
    <row r="9" spans="1:16">
      <c r="E9" s="50"/>
      <c r="J9" t="s">
        <v>831</v>
      </c>
      <c r="K9">
        <v>1865200</v>
      </c>
      <c r="L9">
        <v>3069000</v>
      </c>
      <c r="M9">
        <v>375900</v>
      </c>
      <c r="N9">
        <v>462692</v>
      </c>
    </row>
    <row r="10" spans="1:16">
      <c r="E10" s="50"/>
      <c r="J10" t="s">
        <v>829</v>
      </c>
      <c r="K10">
        <v>5061400</v>
      </c>
      <c r="L10">
        <v>10643900</v>
      </c>
      <c r="M10">
        <v>654000</v>
      </c>
      <c r="N10">
        <v>827123</v>
      </c>
    </row>
    <row r="11" spans="1:16">
      <c r="A11" t="s">
        <v>145</v>
      </c>
      <c r="B11" s="49" t="s">
        <v>517</v>
      </c>
      <c r="C11" t="s">
        <v>518</v>
      </c>
      <c r="D11">
        <v>0</v>
      </c>
      <c r="E11" s="50">
        <v>0</v>
      </c>
      <c r="F11">
        <v>0</v>
      </c>
      <c r="G11">
        <v>0</v>
      </c>
      <c r="J11" t="s">
        <v>524</v>
      </c>
      <c r="K11">
        <v>0</v>
      </c>
      <c r="L11">
        <v>0</v>
      </c>
      <c r="M11">
        <v>0</v>
      </c>
      <c r="N11">
        <v>0</v>
      </c>
    </row>
    <row r="12" spans="1:16">
      <c r="A12" t="s">
        <v>145</v>
      </c>
      <c r="B12" s="49" t="s">
        <v>519</v>
      </c>
      <c r="C12" t="s">
        <v>520</v>
      </c>
      <c r="E12" s="50"/>
      <c r="J12" t="s">
        <v>525</v>
      </c>
      <c r="K12">
        <v>25900</v>
      </c>
      <c r="L12">
        <v>41400</v>
      </c>
      <c r="M12">
        <v>2400</v>
      </c>
      <c r="N12">
        <v>3195</v>
      </c>
      <c r="P12" s="329"/>
    </row>
    <row r="13" spans="1:16">
      <c r="A13" t="s">
        <v>145</v>
      </c>
      <c r="B13" s="49" t="s">
        <v>521</v>
      </c>
      <c r="C13" t="s">
        <v>518</v>
      </c>
      <c r="D13">
        <v>0</v>
      </c>
      <c r="E13" s="50">
        <v>0</v>
      </c>
      <c r="F13">
        <v>0</v>
      </c>
      <c r="G13">
        <v>0</v>
      </c>
      <c r="J13" t="s">
        <v>526</v>
      </c>
      <c r="K13">
        <v>16200</v>
      </c>
      <c r="L13">
        <v>65200</v>
      </c>
      <c r="M13">
        <v>1600</v>
      </c>
      <c r="N13">
        <v>3196</v>
      </c>
    </row>
    <row r="14" spans="1:16">
      <c r="E14" s="50"/>
      <c r="J14" t="s">
        <v>528</v>
      </c>
      <c r="K14">
        <v>0</v>
      </c>
      <c r="L14">
        <v>0</v>
      </c>
      <c r="M14">
        <v>0</v>
      </c>
      <c r="N14">
        <v>0</v>
      </c>
    </row>
    <row r="15" spans="1:16">
      <c r="A15" t="s">
        <v>522</v>
      </c>
      <c r="B15" s="49" t="s">
        <v>143</v>
      </c>
      <c r="C15" t="s">
        <v>523</v>
      </c>
      <c r="E15" s="50">
        <v>0</v>
      </c>
      <c r="J15" t="s">
        <v>529</v>
      </c>
      <c r="K15">
        <v>0</v>
      </c>
      <c r="L15">
        <v>0</v>
      </c>
      <c r="M15">
        <v>0</v>
      </c>
      <c r="N15">
        <v>0</v>
      </c>
      <c r="O15" s="329"/>
      <c r="P15" s="329"/>
    </row>
    <row r="16" spans="1:16">
      <c r="A16" t="s">
        <v>522</v>
      </c>
      <c r="B16" s="49" t="s">
        <v>163</v>
      </c>
      <c r="C16" t="s">
        <v>523</v>
      </c>
      <c r="D16" s="48"/>
      <c r="E16" s="51"/>
      <c r="J16" t="s">
        <v>531</v>
      </c>
      <c r="K16">
        <v>4900</v>
      </c>
      <c r="L16">
        <v>32000</v>
      </c>
      <c r="M16">
        <v>130</v>
      </c>
      <c r="N16">
        <v>1087</v>
      </c>
    </row>
    <row r="17" spans="1:16">
      <c r="A17" t="s">
        <v>522</v>
      </c>
      <c r="B17" s="49" t="s">
        <v>158</v>
      </c>
      <c r="C17" t="s">
        <v>518</v>
      </c>
      <c r="D17" s="48">
        <v>0</v>
      </c>
      <c r="E17" s="51">
        <v>0</v>
      </c>
      <c r="F17" s="48">
        <v>0</v>
      </c>
      <c r="G17" s="48">
        <v>0</v>
      </c>
      <c r="J17" t="s">
        <v>533</v>
      </c>
      <c r="K17">
        <v>95400</v>
      </c>
      <c r="L17">
        <v>255800</v>
      </c>
      <c r="M17">
        <v>11700</v>
      </c>
      <c r="N17">
        <v>20146</v>
      </c>
    </row>
    <row r="18" spans="1:16">
      <c r="A18" t="s">
        <v>522</v>
      </c>
      <c r="B18" s="49" t="s">
        <v>144</v>
      </c>
      <c r="C18" t="s">
        <v>523</v>
      </c>
      <c r="D18" s="48"/>
      <c r="E18" s="51"/>
      <c r="F18" s="48"/>
      <c r="G18" s="48"/>
      <c r="J18" t="s">
        <v>827</v>
      </c>
      <c r="K18">
        <v>2345100</v>
      </c>
      <c r="L18">
        <v>3753200</v>
      </c>
      <c r="M18">
        <v>303800</v>
      </c>
      <c r="N18">
        <v>359321</v>
      </c>
    </row>
    <row r="19" spans="1:16">
      <c r="A19" t="s">
        <v>522</v>
      </c>
      <c r="B19" s="49" t="s">
        <v>146</v>
      </c>
      <c r="C19" t="s">
        <v>523</v>
      </c>
      <c r="D19" s="48">
        <v>35808000</v>
      </c>
      <c r="E19" s="51">
        <v>12850900</v>
      </c>
      <c r="F19" s="48">
        <v>1376100</v>
      </c>
      <c r="G19" s="48">
        <v>2054301</v>
      </c>
      <c r="J19" t="s">
        <v>162</v>
      </c>
      <c r="K19">
        <v>0</v>
      </c>
      <c r="L19">
        <v>0</v>
      </c>
      <c r="M19">
        <v>0</v>
      </c>
      <c r="N19">
        <v>0</v>
      </c>
    </row>
    <row r="20" spans="1:16">
      <c r="A20" t="s">
        <v>522</v>
      </c>
      <c r="B20" s="49" t="s">
        <v>524</v>
      </c>
      <c r="C20" t="s">
        <v>518</v>
      </c>
      <c r="D20" s="48">
        <v>0</v>
      </c>
      <c r="E20" s="51">
        <v>0</v>
      </c>
      <c r="F20">
        <v>0</v>
      </c>
      <c r="G20">
        <v>0</v>
      </c>
      <c r="J20" t="s">
        <v>159</v>
      </c>
      <c r="K20">
        <v>0</v>
      </c>
      <c r="L20">
        <v>0</v>
      </c>
      <c r="M20">
        <v>0</v>
      </c>
      <c r="N20">
        <v>0</v>
      </c>
    </row>
    <row r="21" spans="1:16">
      <c r="A21" t="s">
        <v>522</v>
      </c>
      <c r="B21" s="49" t="s">
        <v>525</v>
      </c>
      <c r="C21" t="s">
        <v>523</v>
      </c>
      <c r="D21" s="48">
        <v>21400</v>
      </c>
      <c r="E21" s="51">
        <v>9200</v>
      </c>
      <c r="F21" s="48">
        <v>300</v>
      </c>
      <c r="G21" s="48">
        <v>782</v>
      </c>
      <c r="J21" t="s">
        <v>536</v>
      </c>
      <c r="K21">
        <v>577200</v>
      </c>
      <c r="L21">
        <v>954600</v>
      </c>
      <c r="M21">
        <v>113800</v>
      </c>
      <c r="N21">
        <v>139463</v>
      </c>
    </row>
    <row r="22" spans="1:16">
      <c r="A22" t="s">
        <v>522</v>
      </c>
      <c r="B22" s="49" t="s">
        <v>526</v>
      </c>
      <c r="C22" t="s">
        <v>527</v>
      </c>
      <c r="D22" s="48">
        <v>78800</v>
      </c>
      <c r="E22" s="51">
        <v>19000</v>
      </c>
      <c r="F22" s="48">
        <v>2500</v>
      </c>
      <c r="G22" s="48">
        <v>4637</v>
      </c>
      <c r="J22" t="s">
        <v>789</v>
      </c>
      <c r="K22">
        <v>0</v>
      </c>
      <c r="L22">
        <v>0</v>
      </c>
      <c r="M22">
        <v>0</v>
      </c>
      <c r="N22">
        <v>0</v>
      </c>
    </row>
    <row r="23" spans="1:16">
      <c r="A23" t="s">
        <v>522</v>
      </c>
      <c r="B23" s="49" t="s">
        <v>528</v>
      </c>
      <c r="C23" t="s">
        <v>518</v>
      </c>
      <c r="D23">
        <v>0</v>
      </c>
      <c r="E23" s="50">
        <v>0</v>
      </c>
      <c r="F23">
        <v>0</v>
      </c>
      <c r="G23">
        <v>0</v>
      </c>
      <c r="J23" t="s">
        <v>160</v>
      </c>
      <c r="K23">
        <v>0</v>
      </c>
      <c r="L23">
        <v>0</v>
      </c>
      <c r="M23">
        <v>0</v>
      </c>
      <c r="N23">
        <v>0</v>
      </c>
    </row>
    <row r="24" spans="1:16">
      <c r="A24" t="s">
        <v>522</v>
      </c>
      <c r="B24" s="49" t="s">
        <v>529</v>
      </c>
      <c r="C24" t="s">
        <v>530</v>
      </c>
      <c r="D24" s="48"/>
      <c r="E24" s="51"/>
      <c r="F24" s="48"/>
      <c r="G24" s="48"/>
      <c r="J24" t="s">
        <v>826</v>
      </c>
      <c r="K24">
        <v>1744500</v>
      </c>
      <c r="L24">
        <v>2138500</v>
      </c>
      <c r="M24">
        <v>226200</v>
      </c>
      <c r="N24">
        <v>265332</v>
      </c>
    </row>
    <row r="25" spans="1:16">
      <c r="A25" t="s">
        <v>522</v>
      </c>
      <c r="B25" s="49" t="s">
        <v>531</v>
      </c>
      <c r="C25" t="s">
        <v>532</v>
      </c>
      <c r="D25" s="48">
        <v>24600</v>
      </c>
      <c r="E25" s="51">
        <v>4600</v>
      </c>
      <c r="F25" s="48">
        <v>100</v>
      </c>
      <c r="G25" s="48">
        <v>711</v>
      </c>
      <c r="J25" t="s">
        <v>539</v>
      </c>
      <c r="K25">
        <v>0</v>
      </c>
      <c r="L25">
        <v>0</v>
      </c>
      <c r="M25">
        <v>0</v>
      </c>
      <c r="N25">
        <v>0</v>
      </c>
    </row>
    <row r="26" spans="1:16">
      <c r="A26" t="s">
        <v>522</v>
      </c>
      <c r="B26" s="49" t="s">
        <v>533</v>
      </c>
      <c r="C26" t="s">
        <v>534</v>
      </c>
      <c r="D26" s="48">
        <v>265400</v>
      </c>
      <c r="E26" s="51">
        <v>92500</v>
      </c>
      <c r="F26" s="48">
        <v>11800</v>
      </c>
      <c r="G26" s="48">
        <v>23261</v>
      </c>
      <c r="J26" t="s">
        <v>540</v>
      </c>
      <c r="K26">
        <v>579700</v>
      </c>
      <c r="L26">
        <v>669800</v>
      </c>
      <c r="M26">
        <v>82800</v>
      </c>
      <c r="N26">
        <v>88797</v>
      </c>
      <c r="P26" s="329"/>
    </row>
    <row r="27" spans="1:16">
      <c r="A27" t="s">
        <v>522</v>
      </c>
      <c r="B27" s="49" t="s">
        <v>148</v>
      </c>
      <c r="C27" t="s">
        <v>523</v>
      </c>
      <c r="D27" s="48">
        <v>7734700</v>
      </c>
      <c r="E27" s="51">
        <v>4429400</v>
      </c>
      <c r="F27" s="48">
        <v>690000</v>
      </c>
      <c r="G27" s="48">
        <v>833656</v>
      </c>
      <c r="J27" t="s">
        <v>541</v>
      </c>
      <c r="K27">
        <v>48700</v>
      </c>
      <c r="L27">
        <v>281800</v>
      </c>
      <c r="M27">
        <v>6600</v>
      </c>
      <c r="N27">
        <v>20275</v>
      </c>
    </row>
    <row r="28" spans="1:16">
      <c r="A28" t="s">
        <v>522</v>
      </c>
      <c r="B28" s="49" t="s">
        <v>162</v>
      </c>
      <c r="C28" t="s">
        <v>518</v>
      </c>
      <c r="D28" s="48">
        <v>0</v>
      </c>
      <c r="E28" s="51">
        <v>0</v>
      </c>
      <c r="F28" s="48">
        <v>0</v>
      </c>
      <c r="G28" s="48">
        <v>0</v>
      </c>
      <c r="J28" t="s">
        <v>542</v>
      </c>
      <c r="K28">
        <v>0</v>
      </c>
      <c r="L28">
        <v>0</v>
      </c>
      <c r="M28">
        <v>0</v>
      </c>
      <c r="N28">
        <v>0</v>
      </c>
    </row>
    <row r="29" spans="1:16">
      <c r="A29" t="s">
        <v>522</v>
      </c>
      <c r="B29" s="49" t="s">
        <v>157</v>
      </c>
      <c r="C29" t="s">
        <v>523</v>
      </c>
      <c r="D29" s="48">
        <v>1241900</v>
      </c>
      <c r="E29" s="51">
        <v>801700</v>
      </c>
      <c r="F29" s="48">
        <v>130500</v>
      </c>
      <c r="G29" s="48">
        <v>149901</v>
      </c>
      <c r="J29" t="s">
        <v>543</v>
      </c>
      <c r="K29">
        <v>528300</v>
      </c>
      <c r="L29">
        <v>654800</v>
      </c>
      <c r="M29">
        <v>69000</v>
      </c>
      <c r="N29">
        <v>77396</v>
      </c>
      <c r="P29" s="329"/>
    </row>
    <row r="30" spans="1:16">
      <c r="A30" t="s">
        <v>522</v>
      </c>
      <c r="B30" s="49" t="s">
        <v>150</v>
      </c>
      <c r="C30" t="s">
        <v>535</v>
      </c>
      <c r="D30" s="48">
        <v>46112000</v>
      </c>
      <c r="E30" s="51">
        <v>43793400</v>
      </c>
      <c r="F30" s="48">
        <v>351600</v>
      </c>
      <c r="G30" s="48">
        <v>589107</v>
      </c>
      <c r="J30" t="s">
        <v>544</v>
      </c>
      <c r="K30">
        <v>27000</v>
      </c>
      <c r="L30">
        <v>77500</v>
      </c>
      <c r="M30">
        <v>930</v>
      </c>
      <c r="N30">
        <v>3523</v>
      </c>
    </row>
    <row r="31" spans="1:16">
      <c r="A31" t="s">
        <v>522</v>
      </c>
      <c r="B31" s="49" t="s">
        <v>159</v>
      </c>
      <c r="C31" t="s">
        <v>518</v>
      </c>
      <c r="D31" s="48">
        <v>0</v>
      </c>
      <c r="E31" s="51">
        <v>0</v>
      </c>
      <c r="F31" s="48">
        <v>0</v>
      </c>
      <c r="G31" s="48">
        <v>0</v>
      </c>
      <c r="J31" t="s">
        <v>545</v>
      </c>
      <c r="K31">
        <v>3011600</v>
      </c>
      <c r="L31">
        <v>4576000</v>
      </c>
      <c r="M31">
        <v>512300</v>
      </c>
      <c r="N31">
        <v>622567</v>
      </c>
    </row>
    <row r="32" spans="1:16">
      <c r="A32" t="s">
        <v>522</v>
      </c>
      <c r="B32" s="49" t="s">
        <v>536</v>
      </c>
      <c r="C32" t="s">
        <v>520</v>
      </c>
      <c r="D32" s="48">
        <v>772100</v>
      </c>
      <c r="E32" s="51">
        <v>443200</v>
      </c>
      <c r="F32" s="48">
        <v>89100</v>
      </c>
      <c r="G32" s="48">
        <v>113356</v>
      </c>
      <c r="J32" t="s">
        <v>142</v>
      </c>
      <c r="K32">
        <v>0</v>
      </c>
      <c r="L32">
        <v>0</v>
      </c>
      <c r="M32">
        <v>0</v>
      </c>
      <c r="N32">
        <v>0</v>
      </c>
    </row>
    <row r="33" spans="1:16">
      <c r="A33" t="s">
        <v>522</v>
      </c>
      <c r="B33" s="49" t="s">
        <v>160</v>
      </c>
      <c r="C33" t="s">
        <v>518</v>
      </c>
      <c r="D33">
        <v>0</v>
      </c>
      <c r="E33" s="50">
        <v>0</v>
      </c>
      <c r="F33">
        <v>0</v>
      </c>
      <c r="G33">
        <v>0</v>
      </c>
      <c r="J33" t="s">
        <v>164</v>
      </c>
      <c r="K33">
        <v>0</v>
      </c>
      <c r="L33">
        <v>0</v>
      </c>
      <c r="M33">
        <v>0</v>
      </c>
      <c r="N33">
        <v>0</v>
      </c>
      <c r="P33" s="329"/>
    </row>
    <row r="34" spans="1:16">
      <c r="A34" t="s">
        <v>522</v>
      </c>
      <c r="B34" s="49" t="s">
        <v>537</v>
      </c>
      <c r="C34" t="s">
        <v>518</v>
      </c>
      <c r="D34" s="48">
        <v>0</v>
      </c>
      <c r="E34" s="51">
        <v>0</v>
      </c>
      <c r="F34" s="48">
        <v>0</v>
      </c>
      <c r="G34" s="48">
        <v>0</v>
      </c>
      <c r="J34" t="s">
        <v>144</v>
      </c>
      <c r="K34">
        <v>0</v>
      </c>
      <c r="L34">
        <v>0</v>
      </c>
      <c r="M34">
        <v>0</v>
      </c>
      <c r="N34">
        <v>0</v>
      </c>
    </row>
    <row r="35" spans="1:16">
      <c r="A35" t="s">
        <v>522</v>
      </c>
      <c r="B35" s="49" t="s">
        <v>538</v>
      </c>
      <c r="C35" t="s">
        <v>518</v>
      </c>
      <c r="D35" s="48">
        <v>0</v>
      </c>
      <c r="E35" s="51">
        <v>0</v>
      </c>
      <c r="F35" s="48">
        <v>0</v>
      </c>
      <c r="G35" s="48">
        <v>0</v>
      </c>
      <c r="J35" t="s">
        <v>547</v>
      </c>
      <c r="K35">
        <v>1785500</v>
      </c>
      <c r="L35">
        <v>2089000</v>
      </c>
      <c r="M35">
        <v>362800</v>
      </c>
      <c r="N35">
        <v>384858</v>
      </c>
    </row>
    <row r="36" spans="1:16">
      <c r="A36" t="s">
        <v>522</v>
      </c>
      <c r="B36" s="49" t="s">
        <v>147</v>
      </c>
      <c r="C36" t="s">
        <v>535</v>
      </c>
      <c r="E36" s="50"/>
      <c r="J36" t="s">
        <v>161</v>
      </c>
      <c r="K36">
        <v>0</v>
      </c>
      <c r="L36">
        <v>0</v>
      </c>
      <c r="M36">
        <v>0</v>
      </c>
      <c r="N36">
        <v>0</v>
      </c>
    </row>
    <row r="37" spans="1:16">
      <c r="A37" t="s">
        <v>522</v>
      </c>
      <c r="B37" s="49" t="s">
        <v>539</v>
      </c>
      <c r="C37" t="s">
        <v>518</v>
      </c>
      <c r="D37" s="48">
        <v>0</v>
      </c>
      <c r="E37" s="51">
        <v>0</v>
      </c>
      <c r="F37" s="48">
        <v>0</v>
      </c>
      <c r="G37" s="48">
        <v>0</v>
      </c>
      <c r="J37" t="s">
        <v>549</v>
      </c>
      <c r="K37">
        <v>1142700</v>
      </c>
      <c r="L37">
        <v>1375900</v>
      </c>
      <c r="M37">
        <v>228700</v>
      </c>
      <c r="N37">
        <v>245240</v>
      </c>
    </row>
    <row r="38" spans="1:16">
      <c r="A38" t="s">
        <v>522</v>
      </c>
      <c r="B38" s="49" t="s">
        <v>540</v>
      </c>
      <c r="C38" t="s">
        <v>523</v>
      </c>
      <c r="D38" s="48">
        <v>1018500</v>
      </c>
      <c r="E38" s="51">
        <v>912000</v>
      </c>
      <c r="F38" s="48">
        <v>178000</v>
      </c>
      <c r="G38" s="48">
        <v>185445</v>
      </c>
      <c r="J38" t="s">
        <v>141</v>
      </c>
      <c r="K38">
        <v>0</v>
      </c>
      <c r="L38">
        <v>0</v>
      </c>
      <c r="M38">
        <v>0</v>
      </c>
      <c r="N38">
        <v>0</v>
      </c>
    </row>
    <row r="39" spans="1:16">
      <c r="A39" t="s">
        <v>522</v>
      </c>
      <c r="B39" s="49" t="s">
        <v>541</v>
      </c>
      <c r="C39" t="s">
        <v>527</v>
      </c>
      <c r="D39" s="48">
        <v>295400</v>
      </c>
      <c r="E39" s="51">
        <v>46600</v>
      </c>
      <c r="F39" s="48">
        <v>7900</v>
      </c>
      <c r="G39" s="48">
        <v>25178</v>
      </c>
      <c r="J39" t="s">
        <v>550</v>
      </c>
      <c r="K39">
        <v>1289400</v>
      </c>
      <c r="L39">
        <v>1592500</v>
      </c>
      <c r="M39">
        <v>259400</v>
      </c>
      <c r="N39">
        <v>280277</v>
      </c>
    </row>
    <row r="40" spans="1:16">
      <c r="A40" t="s">
        <v>522</v>
      </c>
      <c r="B40" s="49" t="s">
        <v>542</v>
      </c>
      <c r="C40" t="s">
        <v>518</v>
      </c>
      <c r="D40" s="48">
        <v>0</v>
      </c>
      <c r="E40" s="51">
        <v>0</v>
      </c>
      <c r="F40" s="48">
        <v>0</v>
      </c>
      <c r="G40" s="48">
        <v>0</v>
      </c>
      <c r="J40" t="s">
        <v>832</v>
      </c>
      <c r="K40">
        <v>2914300</v>
      </c>
      <c r="L40">
        <v>4885500</v>
      </c>
      <c r="M40">
        <v>378900</v>
      </c>
      <c r="N40">
        <v>459203</v>
      </c>
    </row>
    <row r="41" spans="1:16">
      <c r="A41" t="s">
        <v>522</v>
      </c>
      <c r="B41" s="49" t="s">
        <v>543</v>
      </c>
      <c r="C41" t="s">
        <v>530</v>
      </c>
      <c r="D41" s="48">
        <v>287100</v>
      </c>
      <c r="E41" s="51">
        <v>75400</v>
      </c>
      <c r="F41" s="48">
        <v>10900</v>
      </c>
      <c r="G41" s="48">
        <v>18757</v>
      </c>
      <c r="J41" t="s">
        <v>551</v>
      </c>
      <c r="K41">
        <v>0</v>
      </c>
      <c r="L41">
        <v>0</v>
      </c>
      <c r="M41">
        <v>0</v>
      </c>
      <c r="N41">
        <v>0</v>
      </c>
    </row>
    <row r="42" spans="1:16">
      <c r="A42" t="s">
        <v>522</v>
      </c>
      <c r="B42" s="49" t="s">
        <v>544</v>
      </c>
      <c r="C42" t="s">
        <v>532</v>
      </c>
      <c r="D42" s="48">
        <v>93200</v>
      </c>
      <c r="E42" s="51">
        <v>38400</v>
      </c>
      <c r="F42" s="48">
        <v>1200</v>
      </c>
      <c r="G42" s="48">
        <v>4826</v>
      </c>
      <c r="J42" t="s">
        <v>552</v>
      </c>
      <c r="K42">
        <v>142900</v>
      </c>
      <c r="L42">
        <v>180800</v>
      </c>
      <c r="M42">
        <v>17900</v>
      </c>
      <c r="N42">
        <v>20059</v>
      </c>
      <c r="P42" s="329"/>
    </row>
    <row r="43" spans="1:16">
      <c r="A43" t="s">
        <v>522</v>
      </c>
      <c r="B43" s="49" t="s">
        <v>545</v>
      </c>
      <c r="C43" t="s">
        <v>534</v>
      </c>
      <c r="D43" s="48">
        <v>4191200</v>
      </c>
      <c r="E43" s="51">
        <v>2474800</v>
      </c>
      <c r="F43" s="48">
        <v>437800</v>
      </c>
      <c r="G43" s="48">
        <v>580967</v>
      </c>
      <c r="J43" t="s">
        <v>553</v>
      </c>
      <c r="K43">
        <v>34100</v>
      </c>
      <c r="L43">
        <v>185600</v>
      </c>
      <c r="M43">
        <v>4500</v>
      </c>
      <c r="N43">
        <v>12245</v>
      </c>
    </row>
    <row r="44" spans="1:16">
      <c r="A44" t="s">
        <v>522</v>
      </c>
      <c r="B44" s="49" t="s">
        <v>152</v>
      </c>
      <c r="C44" t="s">
        <v>523</v>
      </c>
      <c r="D44" s="48">
        <v>2214600</v>
      </c>
      <c r="E44" s="51">
        <v>1865400</v>
      </c>
      <c r="F44" s="48">
        <v>302400</v>
      </c>
      <c r="G44" s="48">
        <v>341321</v>
      </c>
      <c r="J44" t="s">
        <v>554</v>
      </c>
      <c r="K44">
        <v>0</v>
      </c>
      <c r="L44">
        <v>0</v>
      </c>
      <c r="M44">
        <v>0</v>
      </c>
      <c r="N44">
        <v>0</v>
      </c>
    </row>
    <row r="45" spans="1:16">
      <c r="A45" t="s">
        <v>522</v>
      </c>
      <c r="B45" s="49" t="s">
        <v>142</v>
      </c>
      <c r="C45" t="s">
        <v>523</v>
      </c>
      <c r="D45" s="48"/>
      <c r="E45" s="51"/>
      <c r="F45" s="48"/>
      <c r="G45" s="48"/>
      <c r="J45" t="s">
        <v>555</v>
      </c>
      <c r="K45">
        <v>642900</v>
      </c>
      <c r="L45">
        <v>746500</v>
      </c>
      <c r="M45">
        <v>79000</v>
      </c>
      <c r="N45">
        <v>86064</v>
      </c>
      <c r="P45" s="329"/>
    </row>
    <row r="46" spans="1:16">
      <c r="A46" t="s">
        <v>522</v>
      </c>
      <c r="B46" s="49" t="s">
        <v>164</v>
      </c>
      <c r="C46" t="s">
        <v>546</v>
      </c>
      <c r="D46" s="48"/>
      <c r="E46" s="51"/>
      <c r="F46" s="48"/>
      <c r="G46" s="48"/>
      <c r="J46" t="s">
        <v>556</v>
      </c>
      <c r="K46">
        <v>10300</v>
      </c>
      <c r="L46">
        <v>48700</v>
      </c>
      <c r="M46">
        <v>360</v>
      </c>
      <c r="N46">
        <v>1948</v>
      </c>
    </row>
    <row r="47" spans="1:16">
      <c r="A47" t="s">
        <v>522</v>
      </c>
      <c r="B47" s="49" t="s">
        <v>151</v>
      </c>
      <c r="C47" t="s">
        <v>523</v>
      </c>
      <c r="D47" s="48">
        <v>9050100</v>
      </c>
      <c r="E47" s="51">
        <v>8613900</v>
      </c>
      <c r="F47" s="48">
        <v>1362500</v>
      </c>
      <c r="G47" s="48">
        <v>1396254</v>
      </c>
      <c r="J47" t="s">
        <v>557</v>
      </c>
      <c r="K47">
        <v>261400</v>
      </c>
      <c r="L47">
        <v>606800</v>
      </c>
      <c r="M47">
        <v>43100</v>
      </c>
      <c r="N47">
        <v>64698</v>
      </c>
    </row>
    <row r="48" spans="1:16">
      <c r="A48" t="s">
        <v>522</v>
      </c>
      <c r="B48" s="49" t="s">
        <v>547</v>
      </c>
      <c r="C48" t="s">
        <v>520</v>
      </c>
      <c r="D48" s="48">
        <v>1744800</v>
      </c>
      <c r="E48" s="51">
        <v>1476700</v>
      </c>
      <c r="F48" s="48">
        <v>312300</v>
      </c>
      <c r="G48" s="48">
        <v>335000</v>
      </c>
      <c r="J48" t="s">
        <v>558</v>
      </c>
      <c r="K48">
        <v>689100</v>
      </c>
      <c r="L48">
        <v>1072300</v>
      </c>
      <c r="M48">
        <v>133200</v>
      </c>
      <c r="N48">
        <v>158951</v>
      </c>
    </row>
    <row r="49" spans="1:14">
      <c r="A49" t="s">
        <v>522</v>
      </c>
      <c r="B49" s="49" t="s">
        <v>548</v>
      </c>
      <c r="C49" t="s">
        <v>518</v>
      </c>
      <c r="D49" s="48">
        <v>0</v>
      </c>
      <c r="E49" s="51">
        <v>0</v>
      </c>
      <c r="F49" s="48">
        <v>0</v>
      </c>
      <c r="G49" s="48">
        <v>0</v>
      </c>
      <c r="J49" t="s">
        <v>830</v>
      </c>
      <c r="K49">
        <v>139000</v>
      </c>
      <c r="L49">
        <v>432400</v>
      </c>
      <c r="M49">
        <v>20900</v>
      </c>
      <c r="N49">
        <v>39177</v>
      </c>
    </row>
    <row r="50" spans="1:14">
      <c r="A50" t="s">
        <v>522</v>
      </c>
      <c r="B50" s="49" t="s">
        <v>161</v>
      </c>
      <c r="C50" t="s">
        <v>518</v>
      </c>
      <c r="D50" s="48">
        <v>0</v>
      </c>
      <c r="E50" s="51">
        <v>0</v>
      </c>
      <c r="F50" s="48">
        <v>0</v>
      </c>
      <c r="G50" s="48">
        <v>0</v>
      </c>
      <c r="J50" t="s">
        <v>793</v>
      </c>
      <c r="K50">
        <v>61512900</v>
      </c>
      <c r="L50">
        <v>64613000</v>
      </c>
      <c r="M50">
        <v>459200</v>
      </c>
      <c r="N50">
        <v>740769</v>
      </c>
    </row>
    <row r="51" spans="1:14">
      <c r="A51" t="s">
        <v>522</v>
      </c>
      <c r="B51" s="49" t="s">
        <v>549</v>
      </c>
      <c r="C51" t="s">
        <v>520</v>
      </c>
      <c r="D51" s="48">
        <v>1188400</v>
      </c>
      <c r="E51" s="51">
        <v>949500</v>
      </c>
      <c r="F51" s="48">
        <v>196700</v>
      </c>
      <c r="G51" s="48">
        <v>212893</v>
      </c>
      <c r="J51" t="s">
        <v>519</v>
      </c>
      <c r="K51">
        <v>0</v>
      </c>
      <c r="L51">
        <v>0</v>
      </c>
      <c r="M51">
        <v>0</v>
      </c>
      <c r="N51">
        <v>0</v>
      </c>
    </row>
    <row r="52" spans="1:14">
      <c r="A52" t="s">
        <v>522</v>
      </c>
      <c r="B52" s="49" t="s">
        <v>141</v>
      </c>
      <c r="C52" t="s">
        <v>518</v>
      </c>
      <c r="D52" s="48">
        <v>0</v>
      </c>
      <c r="E52" s="51">
        <v>0</v>
      </c>
      <c r="F52" s="48">
        <v>0</v>
      </c>
      <c r="G52" s="48">
        <v>0</v>
      </c>
      <c r="J52" t="s">
        <v>844</v>
      </c>
      <c r="K52">
        <v>0</v>
      </c>
      <c r="L52">
        <v>0</v>
      </c>
      <c r="M52">
        <v>0</v>
      </c>
      <c r="N52">
        <v>0</v>
      </c>
    </row>
    <row r="53" spans="1:14">
      <c r="A53" t="s">
        <v>522</v>
      </c>
      <c r="B53" s="49" t="s">
        <v>550</v>
      </c>
      <c r="C53" t="s">
        <v>520</v>
      </c>
      <c r="D53" s="48">
        <v>1361400</v>
      </c>
      <c r="E53" s="51">
        <v>1090800</v>
      </c>
      <c r="F53" s="48">
        <v>228400</v>
      </c>
      <c r="G53" s="48">
        <v>249955</v>
      </c>
    </row>
    <row r="54" spans="1:14">
      <c r="A54" t="s">
        <v>522</v>
      </c>
      <c r="B54" s="49" t="s">
        <v>551</v>
      </c>
      <c r="C54" t="s">
        <v>518</v>
      </c>
      <c r="D54">
        <v>0</v>
      </c>
      <c r="E54" s="50">
        <v>0</v>
      </c>
      <c r="F54">
        <v>0</v>
      </c>
      <c r="G54">
        <v>0</v>
      </c>
    </row>
    <row r="55" spans="1:14">
      <c r="A55" t="s">
        <v>522</v>
      </c>
      <c r="B55" s="49" t="s">
        <v>552</v>
      </c>
      <c r="C55" t="s">
        <v>523</v>
      </c>
      <c r="D55" s="48">
        <v>511300</v>
      </c>
      <c r="E55" s="51">
        <v>450700</v>
      </c>
      <c r="F55" s="48">
        <v>77000</v>
      </c>
      <c r="G55" s="48">
        <v>80851</v>
      </c>
    </row>
    <row r="56" spans="1:14">
      <c r="A56" t="s">
        <v>522</v>
      </c>
      <c r="B56" s="49" t="s">
        <v>553</v>
      </c>
      <c r="C56" t="s">
        <v>527</v>
      </c>
      <c r="D56" s="48">
        <v>252900</v>
      </c>
      <c r="E56" s="51">
        <v>51700</v>
      </c>
      <c r="F56" s="48">
        <v>11400</v>
      </c>
      <c r="G56" s="48">
        <v>24412</v>
      </c>
    </row>
    <row r="57" spans="1:14">
      <c r="A57" t="s">
        <v>522</v>
      </c>
      <c r="B57" s="49" t="s">
        <v>554</v>
      </c>
      <c r="C57" t="s">
        <v>518</v>
      </c>
      <c r="D57" s="48">
        <v>0</v>
      </c>
      <c r="E57" s="51">
        <v>0</v>
      </c>
      <c r="F57" s="48">
        <v>0</v>
      </c>
      <c r="G57" s="48">
        <v>0</v>
      </c>
    </row>
    <row r="58" spans="1:14">
      <c r="A58" t="s">
        <v>522</v>
      </c>
      <c r="B58" s="49" t="s">
        <v>555</v>
      </c>
      <c r="C58" t="s">
        <v>530</v>
      </c>
      <c r="D58" s="48">
        <v>277000</v>
      </c>
      <c r="E58" s="51">
        <v>82400</v>
      </c>
      <c r="F58" s="48">
        <v>11600</v>
      </c>
      <c r="G58" s="48">
        <v>18931</v>
      </c>
    </row>
    <row r="59" spans="1:14">
      <c r="A59" t="s">
        <v>522</v>
      </c>
      <c r="B59" s="49" t="s">
        <v>556</v>
      </c>
      <c r="C59" t="s">
        <v>532</v>
      </c>
      <c r="D59" s="48">
        <v>71400</v>
      </c>
      <c r="E59" s="51">
        <v>18600</v>
      </c>
      <c r="F59" s="48">
        <v>690</v>
      </c>
      <c r="G59" s="48">
        <v>4196</v>
      </c>
    </row>
    <row r="60" spans="1:14">
      <c r="A60" t="s">
        <v>522</v>
      </c>
      <c r="B60" s="49" t="s">
        <v>557</v>
      </c>
      <c r="C60" t="s">
        <v>534</v>
      </c>
      <c r="D60" s="48">
        <v>926800</v>
      </c>
      <c r="E60" s="51">
        <v>428400</v>
      </c>
      <c r="F60" s="48">
        <v>73200</v>
      </c>
      <c r="G60" s="48">
        <v>112727</v>
      </c>
    </row>
    <row r="61" spans="1:14">
      <c r="A61" t="s">
        <v>522</v>
      </c>
      <c r="B61" s="49" t="s">
        <v>155</v>
      </c>
      <c r="C61" t="s">
        <v>523</v>
      </c>
      <c r="D61" s="48">
        <v>785000</v>
      </c>
      <c r="E61" s="51">
        <v>475200</v>
      </c>
      <c r="F61" s="48">
        <v>78000</v>
      </c>
      <c r="G61" s="48">
        <v>90521</v>
      </c>
    </row>
    <row r="62" spans="1:14">
      <c r="A62" t="s">
        <v>522</v>
      </c>
      <c r="B62" s="49" t="s">
        <v>153</v>
      </c>
      <c r="C62" t="s">
        <v>523</v>
      </c>
      <c r="D62" s="48">
        <v>617800</v>
      </c>
      <c r="E62" s="51">
        <v>409400</v>
      </c>
      <c r="F62" s="48">
        <v>66600</v>
      </c>
      <c r="G62" s="48">
        <v>76123</v>
      </c>
    </row>
    <row r="63" spans="1:14">
      <c r="A63" t="s">
        <v>522</v>
      </c>
      <c r="B63" s="49" t="s">
        <v>558</v>
      </c>
      <c r="C63" t="s">
        <v>520</v>
      </c>
      <c r="D63" s="48">
        <v>756700</v>
      </c>
      <c r="E63" s="51">
        <v>444700</v>
      </c>
      <c r="F63" s="48">
        <v>87300</v>
      </c>
      <c r="G63" s="48">
        <v>110404</v>
      </c>
    </row>
    <row r="64" spans="1:14">
      <c r="D64" s="48"/>
      <c r="E64" s="51"/>
      <c r="F64" s="48"/>
      <c r="G64" s="48"/>
    </row>
    <row r="65" spans="4:7">
      <c r="D65" s="48"/>
      <c r="E65" s="51"/>
      <c r="F65" s="48"/>
      <c r="G65" s="48"/>
    </row>
  </sheetData>
  <phoneticPr fontId="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D219"/>
  <sheetViews>
    <sheetView topLeftCell="A241" zoomScale="85" zoomScaleNormal="85" workbookViewId="0">
      <selection activeCell="B278" sqref="B278"/>
    </sheetView>
  </sheetViews>
  <sheetFormatPr defaultColWidth="9.125" defaultRowHeight="16.5"/>
  <cols>
    <col min="1" max="1" width="4.5" customWidth="1"/>
    <col min="2" max="2" width="28.25" bestFit="1" customWidth="1"/>
    <col min="3" max="3" width="10" bestFit="1" customWidth="1"/>
    <col min="4" max="4" width="15.25" bestFit="1" customWidth="1"/>
    <col min="5" max="5" width="13.25" bestFit="1" customWidth="1"/>
    <col min="6" max="6" width="15.25" bestFit="1" customWidth="1"/>
    <col min="7" max="9" width="12.75" bestFit="1" customWidth="1"/>
    <col min="10" max="10" width="14.875" customWidth="1"/>
    <col min="11" max="11" width="12.5" bestFit="1" customWidth="1"/>
    <col min="12" max="12" width="9.25" bestFit="1" customWidth="1"/>
    <col min="28" max="28" width="9.25" customWidth="1"/>
    <col min="29" max="34" width="12.875" bestFit="1" customWidth="1"/>
    <col min="35" max="36" width="11.5" bestFit="1" customWidth="1"/>
  </cols>
  <sheetData>
    <row r="1" spans="2:2" ht="20.25">
      <c r="B1" s="45" t="s">
        <v>170</v>
      </c>
    </row>
    <row r="32" spans="2:2" ht="21" thickBot="1">
      <c r="B32" s="45" t="s">
        <v>169</v>
      </c>
    </row>
    <row r="33" spans="2:56" s="43" customFormat="1">
      <c r="B33" s="58"/>
      <c r="C33" s="59" t="s">
        <v>76</v>
      </c>
      <c r="D33" s="59" t="s">
        <v>138</v>
      </c>
      <c r="E33" s="59" t="s">
        <v>139</v>
      </c>
      <c r="F33" s="59">
        <v>3</v>
      </c>
      <c r="G33" s="59">
        <v>4</v>
      </c>
      <c r="H33" s="59">
        <v>5</v>
      </c>
      <c r="I33" s="59">
        <v>6</v>
      </c>
      <c r="J33" s="59">
        <v>7</v>
      </c>
      <c r="K33" s="59">
        <v>8</v>
      </c>
      <c r="L33" s="59">
        <v>9</v>
      </c>
      <c r="M33" s="59">
        <v>10</v>
      </c>
      <c r="N33" s="59">
        <v>11</v>
      </c>
      <c r="O33" s="59" t="s">
        <v>140</v>
      </c>
      <c r="P33" s="59">
        <v>13</v>
      </c>
      <c r="Q33" s="59">
        <v>14</v>
      </c>
      <c r="R33" s="59">
        <v>15</v>
      </c>
      <c r="S33" s="59">
        <v>16</v>
      </c>
      <c r="T33" s="59">
        <v>17</v>
      </c>
      <c r="U33" s="59">
        <v>18</v>
      </c>
      <c r="V33" s="59">
        <v>19</v>
      </c>
      <c r="W33" s="59" t="s">
        <v>573</v>
      </c>
      <c r="X33" s="59">
        <v>21</v>
      </c>
      <c r="Y33" s="59">
        <v>22</v>
      </c>
      <c r="Z33" s="59">
        <v>23</v>
      </c>
      <c r="AA33" s="59">
        <v>24</v>
      </c>
      <c r="AB33" s="59">
        <v>25</v>
      </c>
      <c r="AC33" s="59">
        <v>26</v>
      </c>
      <c r="AD33" s="59" t="s">
        <v>574</v>
      </c>
      <c r="AE33" s="59" t="s">
        <v>575</v>
      </c>
      <c r="AF33" s="59">
        <v>29</v>
      </c>
      <c r="AG33" s="59">
        <v>30</v>
      </c>
      <c r="AH33" s="59">
        <v>31</v>
      </c>
      <c r="AI33" s="59">
        <v>32</v>
      </c>
      <c r="AJ33" s="59">
        <v>33</v>
      </c>
      <c r="AK33" s="59">
        <v>34</v>
      </c>
      <c r="AL33" s="59">
        <v>35</v>
      </c>
      <c r="AM33" s="59">
        <v>36</v>
      </c>
      <c r="AN33" s="59" t="s">
        <v>578</v>
      </c>
      <c r="AO33" s="59">
        <v>38</v>
      </c>
      <c r="AP33" s="59">
        <v>39</v>
      </c>
      <c r="AQ33" s="59">
        <v>40</v>
      </c>
      <c r="AR33" s="59">
        <v>41</v>
      </c>
      <c r="AS33" s="59">
        <v>42</v>
      </c>
      <c r="AT33" s="59">
        <v>43</v>
      </c>
      <c r="AU33" s="59">
        <v>44</v>
      </c>
      <c r="AV33" s="59">
        <v>46</v>
      </c>
      <c r="AW33" s="59">
        <v>47</v>
      </c>
      <c r="AX33" s="59">
        <v>48</v>
      </c>
      <c r="AY33" s="59" t="s">
        <v>570</v>
      </c>
      <c r="AZ33" s="59" t="s">
        <v>571</v>
      </c>
      <c r="BA33" s="59">
        <v>51</v>
      </c>
      <c r="BB33" s="59">
        <v>52</v>
      </c>
      <c r="BC33" s="59">
        <v>53</v>
      </c>
      <c r="BD33" s="60" t="s">
        <v>572</v>
      </c>
    </row>
    <row r="34" spans="2:56">
      <c r="B34" s="61" t="s">
        <v>77</v>
      </c>
      <c r="BD34" s="62"/>
    </row>
    <row r="35" spans="2:56">
      <c r="B35" s="61" t="s">
        <v>78</v>
      </c>
      <c r="F35" t="s">
        <v>141</v>
      </c>
      <c r="G35" t="s">
        <v>142</v>
      </c>
      <c r="H35" t="s">
        <v>143</v>
      </c>
      <c r="I35" t="s">
        <v>144</v>
      </c>
      <c r="J35" t="s">
        <v>145</v>
      </c>
      <c r="K35" t="s">
        <v>142</v>
      </c>
      <c r="L35" t="s">
        <v>146</v>
      </c>
      <c r="M35" t="s">
        <v>147</v>
      </c>
      <c r="N35" t="s">
        <v>148</v>
      </c>
      <c r="O35" t="s">
        <v>149</v>
      </c>
      <c r="P35" t="s">
        <v>149</v>
      </c>
      <c r="Q35" t="s">
        <v>150</v>
      </c>
      <c r="R35" t="s">
        <v>152</v>
      </c>
      <c r="S35" t="s">
        <v>127</v>
      </c>
      <c r="T35" t="s">
        <v>127</v>
      </c>
      <c r="U35" t="s">
        <v>153</v>
      </c>
      <c r="V35" t="s">
        <v>125</v>
      </c>
      <c r="W35" t="s">
        <v>154</v>
      </c>
      <c r="X35" t="s">
        <v>154</v>
      </c>
      <c r="Y35" t="s">
        <v>125</v>
      </c>
      <c r="Z35" t="s">
        <v>155</v>
      </c>
      <c r="AA35" t="s">
        <v>151</v>
      </c>
      <c r="AB35" t="s">
        <v>79</v>
      </c>
      <c r="AC35" t="s">
        <v>126</v>
      </c>
      <c r="AD35" t="s">
        <v>156</v>
      </c>
      <c r="AE35" t="s">
        <v>156</v>
      </c>
      <c r="AF35" t="s">
        <v>79</v>
      </c>
      <c r="AG35" t="s">
        <v>157</v>
      </c>
      <c r="AH35" t="s">
        <v>80</v>
      </c>
      <c r="AI35" t="s">
        <v>157</v>
      </c>
      <c r="AJ35" t="s">
        <v>155</v>
      </c>
      <c r="AK35" t="s">
        <v>153</v>
      </c>
      <c r="AL35" t="s">
        <v>152</v>
      </c>
      <c r="AM35" t="s">
        <v>161</v>
      </c>
      <c r="AN35" t="s">
        <v>161</v>
      </c>
      <c r="AO35" t="s">
        <v>80</v>
      </c>
      <c r="AP35" t="s">
        <v>159</v>
      </c>
      <c r="AQ35" t="s">
        <v>157</v>
      </c>
      <c r="AR35" t="s">
        <v>155</v>
      </c>
      <c r="AS35" t="s">
        <v>152</v>
      </c>
      <c r="AT35" t="s">
        <v>158</v>
      </c>
      <c r="AU35" t="s">
        <v>158</v>
      </c>
      <c r="AV35" t="s">
        <v>155</v>
      </c>
      <c r="AW35" t="s">
        <v>160</v>
      </c>
      <c r="AX35" t="s">
        <v>160</v>
      </c>
      <c r="AY35" t="s">
        <v>145</v>
      </c>
      <c r="BA35" t="s">
        <v>162</v>
      </c>
      <c r="BB35" t="s">
        <v>163</v>
      </c>
      <c r="BC35" t="s">
        <v>164</v>
      </c>
      <c r="BD35" s="62" t="s">
        <v>143</v>
      </c>
    </row>
    <row r="36" spans="2:56">
      <c r="B36" s="61" t="s">
        <v>81</v>
      </c>
      <c r="D36" t="s">
        <v>141</v>
      </c>
      <c r="E36" t="s">
        <v>141</v>
      </c>
      <c r="F36" t="s">
        <v>142</v>
      </c>
      <c r="G36" t="s">
        <v>143</v>
      </c>
      <c r="H36" t="s">
        <v>144</v>
      </c>
      <c r="I36" t="s">
        <v>145</v>
      </c>
      <c r="J36" t="s">
        <v>142</v>
      </c>
      <c r="K36" t="s">
        <v>146</v>
      </c>
      <c r="L36" t="s">
        <v>147</v>
      </c>
      <c r="M36" t="s">
        <v>148</v>
      </c>
      <c r="N36" t="s">
        <v>149</v>
      </c>
      <c r="P36" t="s">
        <v>150</v>
      </c>
      <c r="Q36" t="s">
        <v>152</v>
      </c>
      <c r="R36" t="s">
        <v>127</v>
      </c>
      <c r="S36" t="s">
        <v>149</v>
      </c>
      <c r="T36" t="s">
        <v>153</v>
      </c>
      <c r="U36" t="s">
        <v>125</v>
      </c>
      <c r="V36" t="s">
        <v>154</v>
      </c>
      <c r="X36" t="s">
        <v>125</v>
      </c>
      <c r="Y36" t="s">
        <v>155</v>
      </c>
      <c r="Z36" t="s">
        <v>151</v>
      </c>
      <c r="AA36" t="s">
        <v>79</v>
      </c>
      <c r="AB36" t="s">
        <v>126</v>
      </c>
      <c r="AC36" t="s">
        <v>156</v>
      </c>
      <c r="AF36" t="s">
        <v>157</v>
      </c>
      <c r="AG36" t="s">
        <v>80</v>
      </c>
      <c r="AH36" t="s">
        <v>157</v>
      </c>
      <c r="AI36" t="s">
        <v>155</v>
      </c>
      <c r="AJ36" t="s">
        <v>153</v>
      </c>
      <c r="AK36" t="s">
        <v>152</v>
      </c>
      <c r="AL36" t="s">
        <v>161</v>
      </c>
      <c r="AM36" t="s">
        <v>141</v>
      </c>
      <c r="AO36" t="s">
        <v>159</v>
      </c>
      <c r="AP36" t="s">
        <v>157</v>
      </c>
      <c r="AQ36" t="s">
        <v>155</v>
      </c>
      <c r="AR36" t="s">
        <v>152</v>
      </c>
      <c r="AS36" t="s">
        <v>158</v>
      </c>
      <c r="AT36" t="s">
        <v>141</v>
      </c>
      <c r="AV36" t="s">
        <v>160</v>
      </c>
      <c r="AW36" t="s">
        <v>141</v>
      </c>
      <c r="AY36" t="s">
        <v>162</v>
      </c>
      <c r="AZ36" t="s">
        <v>162</v>
      </c>
      <c r="BA36" t="s">
        <v>163</v>
      </c>
      <c r="BB36" t="s">
        <v>164</v>
      </c>
      <c r="BC36" t="s">
        <v>143</v>
      </c>
      <c r="BD36" s="62"/>
    </row>
    <row r="37" spans="2:56">
      <c r="B37" s="61" t="s">
        <v>82</v>
      </c>
      <c r="D37" t="s">
        <v>83</v>
      </c>
      <c r="E37" t="s">
        <v>83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  <c r="O37" t="s">
        <v>83</v>
      </c>
      <c r="P37" t="s">
        <v>83</v>
      </c>
      <c r="Q37" t="s">
        <v>83</v>
      </c>
      <c r="R37" t="s">
        <v>83</v>
      </c>
      <c r="S37" t="s">
        <v>83</v>
      </c>
      <c r="T37" t="s">
        <v>83</v>
      </c>
      <c r="U37" t="s">
        <v>83</v>
      </c>
      <c r="V37" t="s">
        <v>83</v>
      </c>
      <c r="W37" t="s">
        <v>83</v>
      </c>
      <c r="X37" t="s">
        <v>83</v>
      </c>
      <c r="Y37" t="s">
        <v>83</v>
      </c>
      <c r="Z37" t="s">
        <v>83</v>
      </c>
      <c r="AA37" t="s">
        <v>83</v>
      </c>
      <c r="AB37" t="s">
        <v>83</v>
      </c>
      <c r="AC37" t="s">
        <v>83</v>
      </c>
      <c r="AD37" t="s">
        <v>83</v>
      </c>
      <c r="AE37" t="s">
        <v>83</v>
      </c>
      <c r="AF37" t="s">
        <v>83</v>
      </c>
      <c r="AG37" t="s">
        <v>83</v>
      </c>
      <c r="AH37" t="s">
        <v>83</v>
      </c>
      <c r="AI37" t="s">
        <v>83</v>
      </c>
      <c r="AJ37" t="s">
        <v>83</v>
      </c>
      <c r="AK37" t="s">
        <v>83</v>
      </c>
      <c r="AL37" t="s">
        <v>83</v>
      </c>
      <c r="AM37" t="s">
        <v>83</v>
      </c>
      <c r="AN37" t="s">
        <v>83</v>
      </c>
      <c r="AO37" t="s">
        <v>83</v>
      </c>
      <c r="AP37" t="s">
        <v>83</v>
      </c>
      <c r="AQ37" t="s">
        <v>83</v>
      </c>
      <c r="AR37" t="s">
        <v>83</v>
      </c>
      <c r="AS37" t="s">
        <v>83</v>
      </c>
      <c r="AT37" t="s">
        <v>83</v>
      </c>
      <c r="AU37" t="s">
        <v>83</v>
      </c>
      <c r="AV37" t="s">
        <v>83</v>
      </c>
      <c r="AW37" t="s">
        <v>83</v>
      </c>
      <c r="AX37" t="s">
        <v>83</v>
      </c>
      <c r="AY37" t="s">
        <v>83</v>
      </c>
      <c r="AZ37" t="s">
        <v>83</v>
      </c>
      <c r="BA37" t="s">
        <v>83</v>
      </c>
      <c r="BB37" t="s">
        <v>83</v>
      </c>
      <c r="BC37" t="s">
        <v>83</v>
      </c>
      <c r="BD37" s="62" t="s">
        <v>83</v>
      </c>
    </row>
    <row r="38" spans="2:56">
      <c r="B38" s="61" t="s">
        <v>84</v>
      </c>
      <c r="BD38" s="62"/>
    </row>
    <row r="39" spans="2:56">
      <c r="B39" s="61" t="s">
        <v>85</v>
      </c>
      <c r="C39" t="s">
        <v>86</v>
      </c>
      <c r="D39">
        <v>68.076992165478401</v>
      </c>
      <c r="E39">
        <v>0</v>
      </c>
      <c r="O39">
        <v>215.648935935846</v>
      </c>
      <c r="W39">
        <v>7421.0545487878899</v>
      </c>
      <c r="AD39">
        <v>60265.013731613202</v>
      </c>
      <c r="AE39">
        <v>0</v>
      </c>
      <c r="AN39">
        <v>58212.700176908802</v>
      </c>
      <c r="AZ39">
        <v>1791.9328</v>
      </c>
      <c r="BD39" s="62"/>
    </row>
    <row r="40" spans="2:56">
      <c r="B40" s="61" t="s">
        <v>87</v>
      </c>
      <c r="BD40" s="62"/>
    </row>
    <row r="41" spans="2:56">
      <c r="B41" s="61" t="s">
        <v>88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O41" t="s">
        <v>123</v>
      </c>
      <c r="P41" t="s">
        <v>89</v>
      </c>
      <c r="Q41" t="s">
        <v>89</v>
      </c>
      <c r="S41" t="s">
        <v>123</v>
      </c>
      <c r="T41" t="s">
        <v>89</v>
      </c>
      <c r="V41" t="s">
        <v>123</v>
      </c>
      <c r="W41" t="s">
        <v>123</v>
      </c>
      <c r="X41" t="s">
        <v>89</v>
      </c>
      <c r="Y41" t="s">
        <v>89</v>
      </c>
      <c r="AB41" t="s">
        <v>123</v>
      </c>
      <c r="AC41" t="s">
        <v>123</v>
      </c>
      <c r="AD41" t="s">
        <v>123</v>
      </c>
      <c r="AE41" t="s">
        <v>123</v>
      </c>
      <c r="AF41" t="s">
        <v>89</v>
      </c>
      <c r="AH41" t="s">
        <v>89</v>
      </c>
      <c r="AI41" t="s">
        <v>89</v>
      </c>
      <c r="AJ41" t="s">
        <v>89</v>
      </c>
      <c r="AK41" t="s">
        <v>89</v>
      </c>
      <c r="AL41" t="s">
        <v>89</v>
      </c>
      <c r="AM41" t="s">
        <v>89</v>
      </c>
      <c r="AN41" t="s">
        <v>89</v>
      </c>
      <c r="AO41" t="s">
        <v>123</v>
      </c>
      <c r="AR41" t="s">
        <v>89</v>
      </c>
      <c r="AS41" t="s">
        <v>89</v>
      </c>
      <c r="AT41" t="s">
        <v>89</v>
      </c>
      <c r="AU41" t="s">
        <v>89</v>
      </c>
      <c r="AV41" t="s">
        <v>89</v>
      </c>
      <c r="AW41" t="s">
        <v>89</v>
      </c>
      <c r="AX41" t="s">
        <v>89</v>
      </c>
      <c r="AY41" t="s">
        <v>123</v>
      </c>
      <c r="AZ41" t="s">
        <v>89</v>
      </c>
      <c r="BC41" t="s">
        <v>89</v>
      </c>
      <c r="BD41" s="62" t="s">
        <v>89</v>
      </c>
    </row>
    <row r="42" spans="2:56">
      <c r="B42" s="61" t="s">
        <v>90</v>
      </c>
      <c r="C42" t="s">
        <v>91</v>
      </c>
      <c r="D42">
        <v>30</v>
      </c>
      <c r="E42">
        <v>1114</v>
      </c>
      <c r="F42">
        <v>-10.554718310863</v>
      </c>
      <c r="G42">
        <v>660.59125790400901</v>
      </c>
      <c r="H42">
        <v>732.96885333491002</v>
      </c>
      <c r="I42">
        <v>1230</v>
      </c>
      <c r="J42">
        <v>1229.9999980581499</v>
      </c>
      <c r="K42">
        <v>670.59853065803202</v>
      </c>
      <c r="L42">
        <v>30</v>
      </c>
      <c r="M42">
        <v>451.57344253476998</v>
      </c>
      <c r="N42">
        <v>30</v>
      </c>
      <c r="O42">
        <v>30</v>
      </c>
      <c r="P42">
        <v>30</v>
      </c>
      <c r="Q42">
        <v>72.178213156205999</v>
      </c>
      <c r="R42">
        <v>5</v>
      </c>
      <c r="S42">
        <v>5</v>
      </c>
      <c r="T42">
        <v>5</v>
      </c>
      <c r="U42">
        <v>-60</v>
      </c>
      <c r="V42">
        <v>-60</v>
      </c>
      <c r="W42">
        <v>250.686007482881</v>
      </c>
      <c r="X42">
        <v>-5.3203209943679903</v>
      </c>
      <c r="Y42">
        <v>-60</v>
      </c>
      <c r="Z42">
        <v>-78.159330918329005</v>
      </c>
      <c r="AA42">
        <v>-167</v>
      </c>
      <c r="AB42">
        <v>-140</v>
      </c>
      <c r="AC42">
        <v>-47.207087832329997</v>
      </c>
      <c r="AD42">
        <v>-104.13483006680799</v>
      </c>
      <c r="AE42">
        <v>-85.106054270639007</v>
      </c>
      <c r="AF42">
        <v>-140</v>
      </c>
      <c r="AG42">
        <v>-152.456815400903</v>
      </c>
      <c r="AH42">
        <v>-167</v>
      </c>
      <c r="AI42">
        <v>-157</v>
      </c>
      <c r="AJ42">
        <v>-157</v>
      </c>
      <c r="AK42">
        <v>-79.808846634177996</v>
      </c>
      <c r="AL42">
        <v>-2</v>
      </c>
      <c r="AM42">
        <v>-2</v>
      </c>
      <c r="AN42">
        <v>743</v>
      </c>
      <c r="AO42">
        <v>-167</v>
      </c>
      <c r="AP42">
        <v>-169.13916424990899</v>
      </c>
      <c r="AQ42">
        <v>-162</v>
      </c>
      <c r="AR42">
        <v>-123</v>
      </c>
      <c r="AS42">
        <v>-96.007383576565999</v>
      </c>
      <c r="AT42">
        <v>-96.007383576565999</v>
      </c>
      <c r="AU42">
        <v>-96.007383576565999</v>
      </c>
      <c r="AV42">
        <v>-71</v>
      </c>
      <c r="AW42">
        <v>-71</v>
      </c>
      <c r="AX42">
        <v>-71</v>
      </c>
      <c r="AY42">
        <v>1229.9999980581499</v>
      </c>
      <c r="AZ42">
        <v>30</v>
      </c>
      <c r="BA42">
        <v>876.49077165190999</v>
      </c>
      <c r="BB42">
        <v>35</v>
      </c>
      <c r="BC42">
        <v>7712.0183112401701</v>
      </c>
      <c r="BD42" s="62">
        <v>742.96481970877005</v>
      </c>
    </row>
    <row r="43" spans="2:56">
      <c r="B43" s="61" t="s">
        <v>92</v>
      </c>
      <c r="C43" t="s">
        <v>93</v>
      </c>
      <c r="D43">
        <v>1.0129999999999999</v>
      </c>
      <c r="E43">
        <v>1.0129999999999999</v>
      </c>
      <c r="F43">
        <v>1.0129999999999999</v>
      </c>
      <c r="G43">
        <v>1.0129999999999999</v>
      </c>
      <c r="H43">
        <v>1.0129999999999999</v>
      </c>
      <c r="I43">
        <v>1.0129999999999999</v>
      </c>
      <c r="J43">
        <v>1.0129999999999999</v>
      </c>
      <c r="K43">
        <v>1.0129999999999999</v>
      </c>
      <c r="L43">
        <v>1</v>
      </c>
      <c r="M43">
        <v>20</v>
      </c>
      <c r="N43">
        <v>20</v>
      </c>
      <c r="O43">
        <v>20</v>
      </c>
      <c r="P43">
        <v>20</v>
      </c>
      <c r="Q43">
        <v>30</v>
      </c>
      <c r="R43">
        <v>30</v>
      </c>
      <c r="S43">
        <v>30</v>
      </c>
      <c r="T43">
        <v>30</v>
      </c>
      <c r="U43">
        <v>30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30</v>
      </c>
      <c r="AB43">
        <v>30</v>
      </c>
      <c r="AC43">
        <v>10</v>
      </c>
      <c r="AD43">
        <v>1.0129999999999999</v>
      </c>
      <c r="AE43">
        <v>1.0129999999999999</v>
      </c>
      <c r="AF43">
        <v>30</v>
      </c>
      <c r="AG43">
        <v>30</v>
      </c>
      <c r="AH43">
        <v>30</v>
      </c>
      <c r="AI43">
        <v>30</v>
      </c>
      <c r="AJ43">
        <v>30</v>
      </c>
      <c r="AK43">
        <v>30</v>
      </c>
      <c r="AL43">
        <v>30</v>
      </c>
      <c r="AM43">
        <v>30</v>
      </c>
      <c r="AN43">
        <v>30</v>
      </c>
      <c r="AO43">
        <v>30</v>
      </c>
      <c r="AP43">
        <v>1.0129999999999999</v>
      </c>
      <c r="AQ43">
        <v>1.0129999999999999</v>
      </c>
      <c r="AR43">
        <v>1.0129999999999999</v>
      </c>
      <c r="AS43">
        <v>1.0129999999999999</v>
      </c>
      <c r="AT43">
        <v>1.0129999999999999</v>
      </c>
      <c r="AU43">
        <v>1.0129999999999999</v>
      </c>
      <c r="AV43">
        <v>10</v>
      </c>
      <c r="AW43">
        <v>10</v>
      </c>
      <c r="AX43">
        <v>10</v>
      </c>
      <c r="AY43">
        <v>1.0129999999999999</v>
      </c>
      <c r="AZ43">
        <v>10</v>
      </c>
      <c r="BA43">
        <v>1.0129999999999999</v>
      </c>
      <c r="BB43">
        <v>1.0129999999999999</v>
      </c>
      <c r="BC43">
        <v>1.0129999999999999</v>
      </c>
      <c r="BD43" s="62">
        <v>1.0129999999999999</v>
      </c>
    </row>
    <row r="44" spans="2:56">
      <c r="B44" s="61" t="s">
        <v>94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0.99988502070910201</v>
      </c>
      <c r="O44">
        <v>0</v>
      </c>
      <c r="P44">
        <v>1</v>
      </c>
      <c r="Q44">
        <v>1</v>
      </c>
      <c r="R44">
        <v>0.9999523733597</v>
      </c>
      <c r="S44">
        <v>0</v>
      </c>
      <c r="T44">
        <v>1</v>
      </c>
      <c r="U44">
        <v>0.99928792859868298</v>
      </c>
      <c r="V44">
        <v>0</v>
      </c>
      <c r="W44">
        <v>0</v>
      </c>
      <c r="X44">
        <v>1</v>
      </c>
      <c r="Y44">
        <v>1</v>
      </c>
      <c r="Z44">
        <v>0.99996672416276899</v>
      </c>
      <c r="AA44">
        <v>0.87922871306353501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0.98156340709351098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0</v>
      </c>
      <c r="AP44">
        <v>5.0558343091454398E-2</v>
      </c>
      <c r="AQ44">
        <v>0.370954385528109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0</v>
      </c>
      <c r="AZ44">
        <v>1</v>
      </c>
      <c r="BA44">
        <v>0.50143221576628305</v>
      </c>
      <c r="BB44">
        <v>0.50143221576628305</v>
      </c>
      <c r="BC44">
        <v>1</v>
      </c>
      <c r="BD44" s="62">
        <v>1</v>
      </c>
    </row>
    <row r="45" spans="2:56">
      <c r="B45" s="61" t="s">
        <v>95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1.14979290898209E-4</v>
      </c>
      <c r="O45">
        <v>1</v>
      </c>
      <c r="P45">
        <v>0</v>
      </c>
      <c r="Q45">
        <v>0</v>
      </c>
      <c r="R45" s="44">
        <v>4.7626640299891498E-5</v>
      </c>
      <c r="S45" s="44">
        <v>1</v>
      </c>
      <c r="T45">
        <v>0</v>
      </c>
      <c r="U45">
        <v>7.12071401316683E-4</v>
      </c>
      <c r="V45">
        <v>1</v>
      </c>
      <c r="W45" s="44">
        <v>1</v>
      </c>
      <c r="X45">
        <v>0</v>
      </c>
      <c r="Y45">
        <v>0</v>
      </c>
      <c r="Z45" s="44">
        <v>3.3275837230561899E-5</v>
      </c>
      <c r="AA45">
        <v>0.12077128693646499</v>
      </c>
      <c r="AB45">
        <v>1</v>
      </c>
      <c r="AC45">
        <v>1</v>
      </c>
      <c r="AD45">
        <v>1</v>
      </c>
      <c r="AE45">
        <v>1</v>
      </c>
      <c r="AF45">
        <v>0</v>
      </c>
      <c r="AG45">
        <v>1.8436592906489399E-2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0.94944165690854598</v>
      </c>
      <c r="AQ45">
        <v>0.629045614471891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0.498567784233718</v>
      </c>
      <c r="BB45">
        <v>0.498567784233718</v>
      </c>
      <c r="BC45">
        <v>0</v>
      </c>
      <c r="BD45" s="62">
        <v>0</v>
      </c>
    </row>
    <row r="46" spans="2:56">
      <c r="B46" s="61" t="s">
        <v>96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 s="62">
        <v>0</v>
      </c>
    </row>
    <row r="47" spans="2:56">
      <c r="B47" s="61" t="s">
        <v>97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0.99676789727131998</v>
      </c>
      <c r="O47">
        <v>0</v>
      </c>
      <c r="P47">
        <v>1.0000005210126499</v>
      </c>
      <c r="Q47">
        <v>1</v>
      </c>
      <c r="R47">
        <v>0.99878418553967896</v>
      </c>
      <c r="S47">
        <v>0</v>
      </c>
      <c r="T47">
        <v>1</v>
      </c>
      <c r="U47">
        <v>0.98822425903073197</v>
      </c>
      <c r="V47">
        <v>0</v>
      </c>
      <c r="W47">
        <v>0</v>
      </c>
      <c r="X47">
        <v>0.99999977243531302</v>
      </c>
      <c r="Y47">
        <v>1</v>
      </c>
      <c r="Z47">
        <v>0.99949147797683402</v>
      </c>
      <c r="AA47">
        <v>0.49826447362730603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0.91394059661713301</v>
      </c>
      <c r="AH47">
        <v>1.0000000139404801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0</v>
      </c>
      <c r="AP47">
        <v>2.8881220288437301E-2</v>
      </c>
      <c r="AQ47">
        <v>0.35068167428657299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0</v>
      </c>
      <c r="AZ47">
        <v>1</v>
      </c>
      <c r="BA47">
        <v>0.72821883217821204</v>
      </c>
      <c r="BB47">
        <v>0.72821883217821204</v>
      </c>
      <c r="BC47">
        <v>1</v>
      </c>
      <c r="BD47" s="62">
        <v>1</v>
      </c>
    </row>
    <row r="48" spans="2:56">
      <c r="B48" s="61" t="s">
        <v>98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3.2321027286801298E-3</v>
      </c>
      <c r="O48">
        <v>1</v>
      </c>
      <c r="P48" s="44">
        <v>0</v>
      </c>
      <c r="Q48">
        <v>0</v>
      </c>
      <c r="R48">
        <v>1.21581446032082E-3</v>
      </c>
      <c r="S48">
        <v>1</v>
      </c>
      <c r="T48">
        <v>0</v>
      </c>
      <c r="U48">
        <v>1.17757409692679E-2</v>
      </c>
      <c r="V48">
        <v>1</v>
      </c>
      <c r="W48">
        <v>1</v>
      </c>
      <c r="X48" s="44">
        <v>2.2756468742723999E-7</v>
      </c>
      <c r="Y48">
        <v>0</v>
      </c>
      <c r="Z48" s="44">
        <v>5.0852202316575802E-4</v>
      </c>
      <c r="AA48">
        <v>0.50173552637269303</v>
      </c>
      <c r="AB48">
        <v>1</v>
      </c>
      <c r="AC48">
        <v>1</v>
      </c>
      <c r="AD48">
        <v>1</v>
      </c>
      <c r="AE48">
        <v>1</v>
      </c>
      <c r="AF48">
        <v>0</v>
      </c>
      <c r="AG48">
        <v>8.6059403382866898E-2</v>
      </c>
      <c r="AH48" s="44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0.97111877971156302</v>
      </c>
      <c r="AQ48">
        <v>0.64931832571342696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0.27178116782178802</v>
      </c>
      <c r="BB48">
        <v>0.27178116782178802</v>
      </c>
      <c r="BC48">
        <v>0</v>
      </c>
      <c r="BD48" s="62">
        <v>0</v>
      </c>
    </row>
    <row r="49" spans="2:56">
      <c r="B49" s="61" t="s">
        <v>99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 s="62">
        <v>0</v>
      </c>
    </row>
    <row r="50" spans="2:56">
      <c r="B50" s="61" t="s">
        <v>100</v>
      </c>
      <c r="C50" t="s">
        <v>101</v>
      </c>
      <c r="D50">
        <v>-17.760466837021902</v>
      </c>
      <c r="E50">
        <v>7.8047124892383204</v>
      </c>
      <c r="F50">
        <v>-3.4822334007431901</v>
      </c>
      <c r="G50">
        <v>1.90328673537032</v>
      </c>
      <c r="H50">
        <v>2.55675056424458</v>
      </c>
      <c r="I50">
        <v>7.3823902660979801</v>
      </c>
      <c r="J50">
        <v>8.8733735968099996</v>
      </c>
      <c r="K50">
        <v>3.7080777857520002</v>
      </c>
      <c r="L50">
        <v>-1.3828293928842199</v>
      </c>
      <c r="M50">
        <v>1.8696016793686401</v>
      </c>
      <c r="N50">
        <v>-1.3918692303289699</v>
      </c>
      <c r="O50">
        <v>22.6343851557485</v>
      </c>
      <c r="P50">
        <v>-1.39440974647085</v>
      </c>
      <c r="Q50">
        <v>-1.08905864827974</v>
      </c>
      <c r="R50">
        <v>-1.57989604085507</v>
      </c>
      <c r="S50">
        <v>19.327179785695598</v>
      </c>
      <c r="T50">
        <v>-1.5808918220609001</v>
      </c>
      <c r="U50">
        <v>-2.0523746862222998</v>
      </c>
      <c r="V50">
        <v>12.107500210165499</v>
      </c>
      <c r="W50">
        <v>21.0983338339685</v>
      </c>
      <c r="X50">
        <v>31.6532169701368</v>
      </c>
      <c r="Y50">
        <v>-2.0596900982571298</v>
      </c>
      <c r="Z50">
        <v>-2.1894437841141601</v>
      </c>
      <c r="AA50">
        <v>-3.0777336363423</v>
      </c>
      <c r="AB50">
        <v>5.1492127325000299</v>
      </c>
      <c r="AC50">
        <v>30.0417057250834</v>
      </c>
      <c r="AD50">
        <v>8.2024594764212804</v>
      </c>
      <c r="AE50">
        <v>45.943854691050902</v>
      </c>
      <c r="AF50">
        <v>-3.0664649154317698</v>
      </c>
      <c r="AG50">
        <v>-3.1887880868742999</v>
      </c>
      <c r="AH50">
        <v>-1.97049714723235</v>
      </c>
      <c r="AI50">
        <v>-1.8995756366504699</v>
      </c>
      <c r="AJ50">
        <v>-1.8995756366504699</v>
      </c>
      <c r="AK50">
        <v>-1.36582437686136</v>
      </c>
      <c r="AL50">
        <v>-0.82874750717772305</v>
      </c>
      <c r="AM50">
        <v>-0.82874750717772305</v>
      </c>
      <c r="AN50">
        <v>-0.82874750717772305</v>
      </c>
      <c r="AO50">
        <v>-20.001742417156201</v>
      </c>
      <c r="AP50">
        <v>-20.001742417156201</v>
      </c>
      <c r="AQ50">
        <v>-19.281554552119001</v>
      </c>
      <c r="AR50">
        <v>-17.6952011243438</v>
      </c>
      <c r="AS50">
        <v>-17.478662686096399</v>
      </c>
      <c r="AT50">
        <v>-17.478662686096399</v>
      </c>
      <c r="AU50">
        <v>-17.478662686096399</v>
      </c>
      <c r="AV50">
        <v>-18.149158576376301</v>
      </c>
      <c r="AW50">
        <v>-18.149158576376301</v>
      </c>
      <c r="AX50">
        <v>-18.149158576376301</v>
      </c>
      <c r="AY50">
        <v>45.206830345245102</v>
      </c>
      <c r="AZ50">
        <v>1.28478680193707E-2</v>
      </c>
      <c r="BA50">
        <v>22.545111572387199</v>
      </c>
      <c r="BB50">
        <v>9.1850740129391699</v>
      </c>
      <c r="BC50">
        <v>18.317678290579401</v>
      </c>
      <c r="BD50" s="62">
        <v>-85.290835672604899</v>
      </c>
    </row>
    <row r="51" spans="2:56">
      <c r="B51" s="61" t="s">
        <v>102</v>
      </c>
      <c r="C51" t="s">
        <v>103</v>
      </c>
      <c r="D51">
        <v>-1107.0705313189201</v>
      </c>
      <c r="E51">
        <v>3871.6156166231699</v>
      </c>
      <c r="F51">
        <v>-751.30357054814397</v>
      </c>
      <c r="G51">
        <v>410.64051586991701</v>
      </c>
      <c r="H51">
        <v>551.62753522149603</v>
      </c>
      <c r="I51">
        <v>1592.77553449334</v>
      </c>
      <c r="J51">
        <v>2029.2581138964699</v>
      </c>
      <c r="K51">
        <v>848.002944043924</v>
      </c>
      <c r="L51">
        <v>-316.24023659430401</v>
      </c>
      <c r="M51">
        <v>427.56053672497097</v>
      </c>
      <c r="N51">
        <v>-318.30756344388601</v>
      </c>
      <c r="O51">
        <v>184.21399385024799</v>
      </c>
      <c r="P51">
        <v>-319.83095524494399</v>
      </c>
      <c r="Q51">
        <v>-249.79362678626899</v>
      </c>
      <c r="R51">
        <v>-362.37530698079001</v>
      </c>
      <c r="S51">
        <v>173.65256959489599</v>
      </c>
      <c r="T51">
        <v>-363.02781074778102</v>
      </c>
      <c r="U51">
        <v>-471.29669391429502</v>
      </c>
      <c r="V51">
        <v>168.16529842677201</v>
      </c>
      <c r="W51">
        <v>269.07494544409798</v>
      </c>
      <c r="X51">
        <v>1347.2084288615199</v>
      </c>
      <c r="Y51">
        <v>-478.09565585985001</v>
      </c>
      <c r="Z51">
        <v>-508.21410600559898</v>
      </c>
      <c r="AA51">
        <v>-714.40411481033198</v>
      </c>
      <c r="AB51">
        <v>238.01889112868599</v>
      </c>
      <c r="AC51">
        <v>1107.9662671722999</v>
      </c>
      <c r="AD51">
        <v>292.43373912008701</v>
      </c>
      <c r="AE51">
        <v>1742.9977202974601</v>
      </c>
      <c r="AF51">
        <v>-856.00154673760596</v>
      </c>
      <c r="AG51">
        <v>-890.14797490305205</v>
      </c>
      <c r="AH51">
        <v>-782.46488552332596</v>
      </c>
      <c r="AI51">
        <v>-754.30265664796696</v>
      </c>
      <c r="AJ51">
        <v>-754.30265664796696</v>
      </c>
      <c r="AK51">
        <v>-542.35532194849498</v>
      </c>
      <c r="AL51">
        <v>-329.08742052347401</v>
      </c>
      <c r="AM51">
        <v>-329.08742052347401</v>
      </c>
      <c r="AN51">
        <v>-329.08742052347401</v>
      </c>
      <c r="AO51">
        <v>-1253.20579810664</v>
      </c>
      <c r="AP51">
        <v>-1253.20579810664</v>
      </c>
      <c r="AQ51">
        <v>-1208.0825488732901</v>
      </c>
      <c r="AR51">
        <v>-1108.6898423744301</v>
      </c>
      <c r="AS51">
        <v>-1095.1226630425001</v>
      </c>
      <c r="AT51">
        <v>-1095.1226630425001</v>
      </c>
      <c r="AU51">
        <v>-1095.1226630425001</v>
      </c>
      <c r="AV51">
        <v>-1160.30232543641</v>
      </c>
      <c r="AW51">
        <v>-1160.30232543641</v>
      </c>
      <c r="AX51">
        <v>-1160.30232543641</v>
      </c>
      <c r="AY51">
        <v>3763.785725189</v>
      </c>
      <c r="AZ51">
        <v>0.401510932265293</v>
      </c>
      <c r="BA51">
        <v>1023.2184676450401</v>
      </c>
      <c r="BB51">
        <v>416.86807920865601</v>
      </c>
      <c r="BC51">
        <v>416.86807920865601</v>
      </c>
      <c r="BD51" s="62">
        <v>-1941.02256175257</v>
      </c>
    </row>
    <row r="52" spans="2:56">
      <c r="B52" s="61" t="s">
        <v>104</v>
      </c>
      <c r="C52" t="s">
        <v>105</v>
      </c>
      <c r="D52">
        <v>-19.118113443029198</v>
      </c>
      <c r="E52">
        <v>10.905624186215899</v>
      </c>
      <c r="F52">
        <v>-3.4787063246655001</v>
      </c>
      <c r="G52">
        <v>6.4602849834111904</v>
      </c>
      <c r="H52">
        <v>7.1342323072516098</v>
      </c>
      <c r="I52">
        <v>11.0172059612498</v>
      </c>
      <c r="J52">
        <v>11.874366951302701</v>
      </c>
      <c r="K52">
        <v>7.5963094795581396</v>
      </c>
      <c r="L52">
        <v>-1.25207005840685</v>
      </c>
      <c r="M52">
        <v>-0.54940967612587999</v>
      </c>
      <c r="N52">
        <v>-7.2359701871090696</v>
      </c>
      <c r="O52">
        <v>-81.268213067721902</v>
      </c>
      <c r="P52">
        <v>-7.2276635883442397</v>
      </c>
      <c r="Q52">
        <v>-7.0938239596068797</v>
      </c>
      <c r="R52">
        <v>-8.6739675136712098</v>
      </c>
      <c r="S52">
        <v>-77.581367043600693</v>
      </c>
      <c r="T52">
        <v>-8.6706855294299192</v>
      </c>
      <c r="U52">
        <v>-10.601095242610899</v>
      </c>
      <c r="V52">
        <v>-61.587866030841099</v>
      </c>
      <c r="W52">
        <v>-37.981172200290501</v>
      </c>
      <c r="X52">
        <v>-3.6318097148139801</v>
      </c>
      <c r="Y52">
        <v>-10.5638511133024</v>
      </c>
      <c r="Z52">
        <v>-11.200091085809399</v>
      </c>
      <c r="AA52">
        <v>-17.4909129799384</v>
      </c>
      <c r="AB52">
        <v>-32.771087438691403</v>
      </c>
      <c r="AC52">
        <v>-18.2842156027078</v>
      </c>
      <c r="AD52">
        <v>-36.752002744430101</v>
      </c>
      <c r="AE52">
        <v>-13.676644309683599</v>
      </c>
      <c r="AF52">
        <v>-13.861707335658</v>
      </c>
      <c r="AG52">
        <v>-14.831406710194001</v>
      </c>
      <c r="AH52">
        <v>-14.3009224918139</v>
      </c>
      <c r="AI52">
        <v>-13.662362525999599</v>
      </c>
      <c r="AJ52">
        <v>-13.662362525999599</v>
      </c>
      <c r="AK52">
        <v>-10.1350538337482</v>
      </c>
      <c r="AL52">
        <v>-7.8013408138367497</v>
      </c>
      <c r="AM52">
        <v>-7.8013408138367497</v>
      </c>
      <c r="AN52">
        <v>-7.8013408138367497</v>
      </c>
      <c r="AO52">
        <v>-44.248748826956898</v>
      </c>
      <c r="AP52">
        <v>-43.875385399113298</v>
      </c>
      <c r="AQ52">
        <v>-37.296421441254097</v>
      </c>
      <c r="AR52">
        <v>-23.6249659064854</v>
      </c>
      <c r="AS52">
        <v>-22.298707646070898</v>
      </c>
      <c r="AT52">
        <v>-22.298707646070898</v>
      </c>
      <c r="AU52">
        <v>-22.298707646070898</v>
      </c>
      <c r="AV52">
        <v>-26.401582121882601</v>
      </c>
      <c r="AW52">
        <v>-26.401582121882601</v>
      </c>
      <c r="AX52">
        <v>-26.401582121882601</v>
      </c>
      <c r="AY52">
        <v>2.0552916354106801</v>
      </c>
      <c r="AZ52">
        <v>-4.48833151868876</v>
      </c>
      <c r="BA52">
        <v>3.6736486192353301</v>
      </c>
      <c r="BB52">
        <v>-17.970272787341699</v>
      </c>
      <c r="BC52">
        <v>44.258827510472301</v>
      </c>
      <c r="BD52" s="62">
        <v>14.1977662510432</v>
      </c>
    </row>
    <row r="53" spans="2:56">
      <c r="B53" s="61" t="s">
        <v>106</v>
      </c>
      <c r="C53" t="s">
        <v>107</v>
      </c>
      <c r="D53">
        <v>-1.1916972792106399</v>
      </c>
      <c r="E53">
        <v>5.4098578220012703</v>
      </c>
      <c r="F53">
        <v>-0.75054259201919404</v>
      </c>
      <c r="G53">
        <v>1.39382821776378</v>
      </c>
      <c r="H53">
        <v>1.5392346200614</v>
      </c>
      <c r="I53">
        <v>2.3769992483515598</v>
      </c>
      <c r="J53">
        <v>2.7155574168518899</v>
      </c>
      <c r="K53">
        <v>1.73720541335076</v>
      </c>
      <c r="L53">
        <v>-0.28633679146591401</v>
      </c>
      <c r="M53">
        <v>-0.1256448892823</v>
      </c>
      <c r="N53">
        <v>-1.6547991644781901</v>
      </c>
      <c r="O53">
        <v>-0.66141589441301196</v>
      </c>
      <c r="P53">
        <v>-1.6577842743137701</v>
      </c>
      <c r="Q53">
        <v>-1.6270859401856299</v>
      </c>
      <c r="R53">
        <v>-1.9895180184177399</v>
      </c>
      <c r="S53">
        <v>-0.69705998956852699</v>
      </c>
      <c r="T53">
        <v>-1.9910913204219001</v>
      </c>
      <c r="U53">
        <v>-2.4343806095705798</v>
      </c>
      <c r="V53">
        <v>-0.85541537813467805</v>
      </c>
      <c r="W53">
        <v>-0.48438809993811499</v>
      </c>
      <c r="X53">
        <v>-0.154575273168433</v>
      </c>
      <c r="Y53">
        <v>-2.4520831219676098</v>
      </c>
      <c r="Z53">
        <v>-2.5997672649352199</v>
      </c>
      <c r="AA53">
        <v>-4.0599940349313997</v>
      </c>
      <c r="AB53">
        <v>-1.5148214491133301</v>
      </c>
      <c r="AC53">
        <v>-0.674339010404158</v>
      </c>
      <c r="AD53">
        <v>-1.3102808509569801</v>
      </c>
      <c r="AE53">
        <v>-0.51885850704949599</v>
      </c>
      <c r="AF53">
        <v>-3.8694859543424802</v>
      </c>
      <c r="AG53">
        <v>-4.1401768597873998</v>
      </c>
      <c r="AH53">
        <v>-5.6787545702118303</v>
      </c>
      <c r="AI53">
        <v>-5.4251887372176402</v>
      </c>
      <c r="AJ53">
        <v>-5.4251887372176402</v>
      </c>
      <c r="AK53">
        <v>-4.0245294183424596</v>
      </c>
      <c r="AL53">
        <v>-3.0978351099878201</v>
      </c>
      <c r="AM53">
        <v>-3.0978351099878201</v>
      </c>
      <c r="AN53">
        <v>-3.0978351099878201</v>
      </c>
      <c r="AO53">
        <v>-2.7723978957624702</v>
      </c>
      <c r="AP53">
        <v>-2.74900487315394</v>
      </c>
      <c r="AQ53">
        <v>-2.3368009958331299</v>
      </c>
      <c r="AR53">
        <v>-1.4802182548198499</v>
      </c>
      <c r="AS53">
        <v>-1.3971217671702201</v>
      </c>
      <c r="AT53">
        <v>-1.3971217671702201</v>
      </c>
      <c r="AU53">
        <v>-1.3971217671702201</v>
      </c>
      <c r="AV53">
        <v>-1.68789186574716</v>
      </c>
      <c r="AW53">
        <v>-1.68789186574716</v>
      </c>
      <c r="AX53">
        <v>-1.68789186574716</v>
      </c>
      <c r="AY53">
        <v>0.17111744529270501</v>
      </c>
      <c r="AZ53">
        <v>-0.14026561991977099</v>
      </c>
      <c r="BA53">
        <v>0.16672994049158599</v>
      </c>
      <c r="BB53">
        <v>-0.81558766855462395</v>
      </c>
      <c r="BC53">
        <v>1.0072287611802</v>
      </c>
      <c r="BD53" s="62">
        <v>0.32310839027944499</v>
      </c>
    </row>
    <row r="54" spans="2:56">
      <c r="B54" s="61" t="s">
        <v>108</v>
      </c>
      <c r="C54" t="s">
        <v>109</v>
      </c>
      <c r="D54">
        <v>4.0272705388030197E-2</v>
      </c>
      <c r="E54">
        <v>8.7821116970894092E-3</v>
      </c>
      <c r="F54">
        <v>4.6399587267102499E-2</v>
      </c>
      <c r="G54">
        <v>1.3045575631490501E-2</v>
      </c>
      <c r="H54">
        <v>1.2107247545430499E-2</v>
      </c>
      <c r="I54">
        <v>8.1043354658337195E-3</v>
      </c>
      <c r="J54">
        <v>8.1043506270489195E-3</v>
      </c>
      <c r="K54">
        <v>1.29073002648964E-2</v>
      </c>
      <c r="L54">
        <v>3.9669876456941797E-2</v>
      </c>
      <c r="M54">
        <v>0.33030513791819599</v>
      </c>
      <c r="N54">
        <v>0.79118444401878096</v>
      </c>
      <c r="O54">
        <v>7.8947262842248298</v>
      </c>
      <c r="P54">
        <v>0.79110403644087002</v>
      </c>
      <c r="Q54">
        <v>1.03786636366617</v>
      </c>
      <c r="R54">
        <v>1.2932103513333899</v>
      </c>
      <c r="S54">
        <v>8.70404085545883</v>
      </c>
      <c r="T54">
        <v>1.2931579106730999</v>
      </c>
      <c r="U54">
        <v>1.70480339052383</v>
      </c>
      <c r="V54">
        <v>13.024725267036599</v>
      </c>
      <c r="W54">
        <v>6.6905015168603104</v>
      </c>
      <c r="X54">
        <v>1.7858012792397699</v>
      </c>
      <c r="Y54">
        <v>1.7037704414719499</v>
      </c>
      <c r="Z54">
        <v>1.87246717861334</v>
      </c>
      <c r="AA54">
        <v>3.9650326116051602</v>
      </c>
      <c r="AB54">
        <v>27.109860635829701</v>
      </c>
      <c r="AC54">
        <v>19.763367230807699</v>
      </c>
      <c r="AD54">
        <v>22.057040087485799</v>
      </c>
      <c r="AE54">
        <v>24.487247520901199</v>
      </c>
      <c r="AF54">
        <v>2.8177845630152998</v>
      </c>
      <c r="AG54">
        <v>3.1888370778207098</v>
      </c>
      <c r="AH54">
        <v>3.5515916298560901</v>
      </c>
      <c r="AI54">
        <v>3.20513123583352</v>
      </c>
      <c r="AJ54">
        <v>3.20513123583352</v>
      </c>
      <c r="AK54">
        <v>1.8609659490650901</v>
      </c>
      <c r="AL54">
        <v>1.31928039594372</v>
      </c>
      <c r="AM54">
        <v>1.31928039594372</v>
      </c>
      <c r="AN54">
        <v>1.31928039594372</v>
      </c>
      <c r="AO54">
        <v>30.384214931360098</v>
      </c>
      <c r="AP54">
        <v>2.1904308713676102</v>
      </c>
      <c r="AQ54">
        <v>0.30261774513591799</v>
      </c>
      <c r="AR54">
        <v>8.2419392869886199E-2</v>
      </c>
      <c r="AS54">
        <v>6.9479064551935296E-2</v>
      </c>
      <c r="AT54">
        <v>6.9479064551935296E-2</v>
      </c>
      <c r="AU54">
        <v>6.9479064551935296E-2</v>
      </c>
      <c r="AV54">
        <v>0.63897006156419001</v>
      </c>
      <c r="AW54">
        <v>0.63897006156419001</v>
      </c>
      <c r="AX54">
        <v>0.63897006156419001</v>
      </c>
      <c r="AY54">
        <v>48.7480401005879</v>
      </c>
      <c r="AZ54">
        <v>0.399668515584503</v>
      </c>
      <c r="BA54">
        <v>2.1126424492003502E-2</v>
      </c>
      <c r="BB54">
        <v>7.8844942904636894E-2</v>
      </c>
      <c r="BC54">
        <v>1.52573980770868E-3</v>
      </c>
      <c r="BD54" s="62">
        <v>1.19875147726508E-2</v>
      </c>
    </row>
    <row r="55" spans="2:56">
      <c r="B55" s="61" t="s">
        <v>110</v>
      </c>
      <c r="C55" t="s">
        <v>111</v>
      </c>
      <c r="D55">
        <v>0.64608534709087495</v>
      </c>
      <c r="E55">
        <v>1.7703683327928599E-2</v>
      </c>
      <c r="F55">
        <v>0.215058464908292</v>
      </c>
      <c r="G55">
        <v>6.0465224679757602E-2</v>
      </c>
      <c r="H55">
        <v>5.6116147249246198E-2</v>
      </c>
      <c r="I55">
        <v>3.7562962238238601E-2</v>
      </c>
      <c r="J55">
        <v>3.54380403266015E-2</v>
      </c>
      <c r="K55">
        <v>5.64399849345502E-2</v>
      </c>
      <c r="L55">
        <v>0.173465185099514</v>
      </c>
      <c r="M55">
        <v>1.44433124087217</v>
      </c>
      <c r="N55">
        <v>3.45962650472429</v>
      </c>
      <c r="O55">
        <v>970.02552130550305</v>
      </c>
      <c r="P55">
        <v>3.44908196281611</v>
      </c>
      <c r="Q55">
        <v>4.5249246494043103</v>
      </c>
      <c r="R55">
        <v>5.6381819475705299</v>
      </c>
      <c r="S55">
        <v>968.74214339548303</v>
      </c>
      <c r="T55">
        <v>5.6313668129321304</v>
      </c>
      <c r="U55">
        <v>7.4239759558621596</v>
      </c>
      <c r="V55">
        <v>937.74913958639104</v>
      </c>
      <c r="W55">
        <v>524.60638535637395</v>
      </c>
      <c r="X55">
        <v>41.958136652316298</v>
      </c>
      <c r="Y55">
        <v>7.3400355451705996</v>
      </c>
      <c r="Z55">
        <v>8.0668001472741508</v>
      </c>
      <c r="AA55">
        <v>17.081808439990901</v>
      </c>
      <c r="AB55">
        <v>586.48470674053897</v>
      </c>
      <c r="AC55">
        <v>535.86943941890797</v>
      </c>
      <c r="AD55">
        <v>618.67682584021895</v>
      </c>
      <c r="AE55">
        <v>645.46185504596303</v>
      </c>
      <c r="AF55">
        <v>10.094184449388999</v>
      </c>
      <c r="AG55">
        <v>11.423410456947</v>
      </c>
      <c r="AH55">
        <v>8.9440450354332199</v>
      </c>
      <c r="AI55">
        <v>8.0715468177095495</v>
      </c>
      <c r="AJ55">
        <v>8.0715468177095495</v>
      </c>
      <c r="AK55">
        <v>4.68650818915245</v>
      </c>
      <c r="AL55">
        <v>3.32237050467509</v>
      </c>
      <c r="AM55">
        <v>3.32237050467509</v>
      </c>
      <c r="AN55">
        <v>3.32237050467509</v>
      </c>
      <c r="AO55">
        <v>484.94608110076803</v>
      </c>
      <c r="AP55">
        <v>34.960286760462203</v>
      </c>
      <c r="AQ55">
        <v>4.8299187557335204</v>
      </c>
      <c r="AR55">
        <v>1.3154515155072599</v>
      </c>
      <c r="AS55">
        <v>1.10891790849704</v>
      </c>
      <c r="AT55">
        <v>1.10891790849704</v>
      </c>
      <c r="AU55">
        <v>1.10891790849704</v>
      </c>
      <c r="AV55">
        <v>9.9946097828629803</v>
      </c>
      <c r="AW55">
        <v>9.9946097828629803</v>
      </c>
      <c r="AX55">
        <v>9.9946097828629803</v>
      </c>
      <c r="AY55">
        <v>585.51270964816104</v>
      </c>
      <c r="AZ55">
        <v>12.7889128964854</v>
      </c>
      <c r="BA55">
        <v>0.46548964112624103</v>
      </c>
      <c r="BB55">
        <v>1.7372321658684</v>
      </c>
      <c r="BC55">
        <v>6.7042818451804001E-2</v>
      </c>
      <c r="BD55" s="62">
        <v>0.52674563023828402</v>
      </c>
    </row>
    <row r="56" spans="2:56">
      <c r="B56" s="61" t="s">
        <v>112</v>
      </c>
      <c r="C56" t="s">
        <v>113</v>
      </c>
      <c r="D56">
        <v>-234.20372408643999</v>
      </c>
      <c r="E56" s="44">
        <v>7.8047124892383406E-8</v>
      </c>
      <c r="F56">
        <v>-772.96495502086395</v>
      </c>
      <c r="G56">
        <v>422.47999386926301</v>
      </c>
      <c r="H56">
        <v>567.53191341772094</v>
      </c>
      <c r="I56">
        <v>1638.6980145452201</v>
      </c>
      <c r="J56">
        <v>2053.6344933454602</v>
      </c>
      <c r="K56">
        <v>858.189544455332</v>
      </c>
      <c r="L56">
        <v>-320.03905940125401</v>
      </c>
      <c r="M56">
        <v>432.69659004871897</v>
      </c>
      <c r="N56">
        <v>-322.13121992940398</v>
      </c>
      <c r="O56">
        <v>0.79451012379208696</v>
      </c>
      <c r="P56">
        <v>-322.657283130319</v>
      </c>
      <c r="Q56">
        <v>-252.00103880001299</v>
      </c>
      <c r="R56">
        <v>-365.57759687266997</v>
      </c>
      <c r="S56">
        <v>0.212995042797293</v>
      </c>
      <c r="T56">
        <v>-365.79059191546702</v>
      </c>
      <c r="U56">
        <v>-474.88344289547399</v>
      </c>
      <c r="V56">
        <v>1.9958341272939599</v>
      </c>
      <c r="W56">
        <v>3.0717575207221501</v>
      </c>
      <c r="X56">
        <v>0.60938507846227297</v>
      </c>
      <c r="Y56">
        <v>-476.27622862767203</v>
      </c>
      <c r="Z56">
        <v>-506.28006085603403</v>
      </c>
      <c r="AA56">
        <v>-711.68539882675304</v>
      </c>
      <c r="AB56">
        <v>47.874723151279298</v>
      </c>
      <c r="AC56">
        <v>145.87942425642601</v>
      </c>
      <c r="AD56">
        <v>17.799759349300199</v>
      </c>
      <c r="AE56">
        <v>123.398089361644</v>
      </c>
      <c r="AF56">
        <v>-680.56924683639295</v>
      </c>
      <c r="AG56">
        <v>-707.71757266276495</v>
      </c>
      <c r="AH56">
        <v>-402.74781126415701</v>
      </c>
      <c r="AI56">
        <v>-388.25223932256802</v>
      </c>
      <c r="AJ56">
        <v>-388.25223932256802</v>
      </c>
      <c r="AK56">
        <v>-279.15938834256099</v>
      </c>
      <c r="AL56">
        <v>-169.38681950149299</v>
      </c>
      <c r="AM56">
        <v>-154.97440716875701</v>
      </c>
      <c r="AN56">
        <v>-14.412412332736499</v>
      </c>
      <c r="AO56">
        <v>-351.376011507356</v>
      </c>
      <c r="AP56">
        <v>-351.376011507356</v>
      </c>
      <c r="AQ56">
        <v>-338.724276759703</v>
      </c>
      <c r="AR56">
        <v>-310.85637762034702</v>
      </c>
      <c r="AS56">
        <v>-307.05238838868098</v>
      </c>
      <c r="AT56">
        <v>-303.98186450479398</v>
      </c>
      <c r="AU56">
        <v>-3.0705238838868101</v>
      </c>
      <c r="AV56">
        <v>-80.611070039313404</v>
      </c>
      <c r="AW56">
        <v>-79.804959338920497</v>
      </c>
      <c r="AX56">
        <v>-0.80611070039313504</v>
      </c>
      <c r="AY56">
        <v>62.928020857657202</v>
      </c>
      <c r="AZ56">
        <v>1.7987015227118999E-2</v>
      </c>
      <c r="BA56">
        <v>62.946007872884401</v>
      </c>
      <c r="BB56">
        <v>25.644749606811299</v>
      </c>
      <c r="BC56">
        <v>25.644749606811299</v>
      </c>
      <c r="BD56" s="62">
        <v>-119.407169941647</v>
      </c>
    </row>
    <row r="57" spans="2:56">
      <c r="B57" s="61" t="s">
        <v>114</v>
      </c>
      <c r="D57">
        <v>16.042760000000001</v>
      </c>
      <c r="E57">
        <v>2.0158800000000001</v>
      </c>
      <c r="F57">
        <v>4.6349219373502804</v>
      </c>
      <c r="G57">
        <v>4.6349219373502804</v>
      </c>
      <c r="H57">
        <v>4.6349219373502804</v>
      </c>
      <c r="I57">
        <v>4.6349219373502804</v>
      </c>
      <c r="J57">
        <v>4.3727180569315696</v>
      </c>
      <c r="K57">
        <v>4.3727180569315696</v>
      </c>
      <c r="L57">
        <v>4.3727180569315696</v>
      </c>
      <c r="M57">
        <v>4.3727180569315696</v>
      </c>
      <c r="N57">
        <v>4.3727180569315696</v>
      </c>
      <c r="O57">
        <v>122.870063683373</v>
      </c>
      <c r="P57">
        <v>4.3598336046082196</v>
      </c>
      <c r="Q57">
        <v>4.3598336046082196</v>
      </c>
      <c r="R57">
        <v>4.3598336046082196</v>
      </c>
      <c r="S57">
        <v>111.297977512126</v>
      </c>
      <c r="T57">
        <v>4.3547402575149903</v>
      </c>
      <c r="U57">
        <v>4.3547402575149903</v>
      </c>
      <c r="V57">
        <v>71.997613796866602</v>
      </c>
      <c r="W57">
        <v>78.410621989150798</v>
      </c>
      <c r="X57">
        <v>23.495411914016699</v>
      </c>
      <c r="Y57">
        <v>4.3081129749083402</v>
      </c>
      <c r="Z57">
        <v>4.3081129749083402</v>
      </c>
      <c r="AA57">
        <v>4.3081129749083402</v>
      </c>
      <c r="AB57">
        <v>21.633630457155999</v>
      </c>
      <c r="AC57">
        <v>27.114278308990801</v>
      </c>
      <c r="AD57">
        <v>28.048950511325799</v>
      </c>
      <c r="AE57">
        <v>26.359101997683702</v>
      </c>
      <c r="AF57">
        <v>3.5823123534282</v>
      </c>
      <c r="AG57">
        <v>3.5823123534282</v>
      </c>
      <c r="AH57">
        <v>2.5183202258519901</v>
      </c>
      <c r="AI57">
        <v>2.5183202258519901</v>
      </c>
      <c r="AJ57">
        <v>2.5183202258519901</v>
      </c>
      <c r="AK57">
        <v>2.5183202258519901</v>
      </c>
      <c r="AL57">
        <v>2.5183202258519901</v>
      </c>
      <c r="AM57">
        <v>2.5183202258519901</v>
      </c>
      <c r="AN57">
        <v>2.5183202258519901</v>
      </c>
      <c r="AO57">
        <v>15.960461120891001</v>
      </c>
      <c r="AP57">
        <v>15.960461120891001</v>
      </c>
      <c r="AQ57">
        <v>15.960461120891001</v>
      </c>
      <c r="AR57">
        <v>15.960461120891001</v>
      </c>
      <c r="AS57">
        <v>15.960461120891001</v>
      </c>
      <c r="AT57">
        <v>15.960461120891001</v>
      </c>
      <c r="AU57">
        <v>15.960461120891001</v>
      </c>
      <c r="AV57">
        <v>15.6417497220391</v>
      </c>
      <c r="AW57">
        <v>15.6417497220391</v>
      </c>
      <c r="AX57">
        <v>15.6417497220391</v>
      </c>
      <c r="AY57">
        <v>12.010999999999999</v>
      </c>
      <c r="AZ57">
        <v>31.998799999999999</v>
      </c>
      <c r="BA57">
        <v>22.033526842293298</v>
      </c>
      <c r="BB57">
        <v>22.033526842293298</v>
      </c>
      <c r="BC57">
        <v>43.9411871625</v>
      </c>
      <c r="BD57" s="62">
        <v>43.9411871625</v>
      </c>
    </row>
    <row r="58" spans="2:56">
      <c r="B58" s="61" t="s">
        <v>115</v>
      </c>
      <c r="C58" t="s">
        <v>116</v>
      </c>
      <c r="D58">
        <v>13186.8</v>
      </c>
      <c r="E58" s="44">
        <v>1.0000000000000001E-5</v>
      </c>
      <c r="F58">
        <v>221973.907566304</v>
      </c>
      <c r="G58">
        <v>221973.907566304</v>
      </c>
      <c r="H58">
        <v>221973.907566304</v>
      </c>
      <c r="I58">
        <v>221973.907566304</v>
      </c>
      <c r="J58">
        <v>231437.848405678</v>
      </c>
      <c r="K58">
        <v>231437.848405678</v>
      </c>
      <c r="L58">
        <v>231437.848405678</v>
      </c>
      <c r="M58">
        <v>231437.848405678</v>
      </c>
      <c r="N58">
        <v>231437.848405678</v>
      </c>
      <c r="O58">
        <v>35.101908813737197</v>
      </c>
      <c r="P58">
        <v>231393.45084681199</v>
      </c>
      <c r="Q58">
        <v>231393.45084681199</v>
      </c>
      <c r="R58">
        <v>231393.45084681199</v>
      </c>
      <c r="S58">
        <v>11.0204926512318</v>
      </c>
      <c r="T58">
        <v>231382.43035416101</v>
      </c>
      <c r="U58">
        <v>231382.43035416101</v>
      </c>
      <c r="V58">
        <v>164.84279105097499</v>
      </c>
      <c r="W58">
        <v>145.592421889571</v>
      </c>
      <c r="X58">
        <v>19.251916133427901</v>
      </c>
      <c r="Y58">
        <v>231236.839479243</v>
      </c>
      <c r="Z58">
        <v>231236.839479243</v>
      </c>
      <c r="AA58">
        <v>231236.839479243</v>
      </c>
      <c r="AB58">
        <v>9297.4840307355498</v>
      </c>
      <c r="AC58">
        <v>4855.8968519095397</v>
      </c>
      <c r="AD58">
        <v>2170.0514827860102</v>
      </c>
      <c r="AE58">
        <v>2685.84536912353</v>
      </c>
      <c r="AF58">
        <v>221939.35544850799</v>
      </c>
      <c r="AG58">
        <v>221939.35544850799</v>
      </c>
      <c r="AH58">
        <v>204388.93394483399</v>
      </c>
      <c r="AI58">
        <v>204388.93394483399</v>
      </c>
      <c r="AJ58">
        <v>204388.93394483399</v>
      </c>
      <c r="AK58">
        <v>204388.93394483399</v>
      </c>
      <c r="AL58">
        <v>204388.93394483399</v>
      </c>
      <c r="AM58">
        <v>186998.33885053601</v>
      </c>
      <c r="AN58">
        <v>17390.5950942979</v>
      </c>
      <c r="AO58">
        <v>17567.270099727401</v>
      </c>
      <c r="AP58">
        <v>17567.270099727401</v>
      </c>
      <c r="AQ58">
        <v>17567.270099727401</v>
      </c>
      <c r="AR58">
        <v>17567.270099727401</v>
      </c>
      <c r="AS58">
        <v>17567.270099727401</v>
      </c>
      <c r="AT58">
        <v>17391.5973987301</v>
      </c>
      <c r="AU58">
        <v>175.67270099727401</v>
      </c>
      <c r="AV58">
        <v>4441.5871788260101</v>
      </c>
      <c r="AW58">
        <v>4397.17130703777</v>
      </c>
      <c r="AX58">
        <v>44.415871788260098</v>
      </c>
      <c r="AY58">
        <v>1392.0025000000001</v>
      </c>
      <c r="AZ58">
        <v>1400</v>
      </c>
      <c r="BA58">
        <v>2792.0025000000101</v>
      </c>
      <c r="BB58">
        <v>2792.0025000000101</v>
      </c>
      <c r="BC58">
        <v>1400</v>
      </c>
      <c r="BD58" s="62">
        <v>1400</v>
      </c>
    </row>
    <row r="59" spans="2:56">
      <c r="B59" s="61" t="s">
        <v>132</v>
      </c>
      <c r="C59" t="s">
        <v>116</v>
      </c>
      <c r="D59">
        <v>0</v>
      </c>
      <c r="E59" s="44">
        <v>1.0000000000000001E-5</v>
      </c>
      <c r="F59">
        <v>180869.01015529799</v>
      </c>
      <c r="G59">
        <v>180869.01015529799</v>
      </c>
      <c r="H59">
        <v>180869.01015529799</v>
      </c>
      <c r="I59">
        <v>180869.01015529799</v>
      </c>
      <c r="J59">
        <v>197643.83689999999</v>
      </c>
      <c r="K59">
        <v>197643.83689999999</v>
      </c>
      <c r="L59">
        <v>197643.83689999999</v>
      </c>
      <c r="M59">
        <v>197643.83689999999</v>
      </c>
      <c r="N59">
        <v>197643.83689999999</v>
      </c>
      <c r="O59">
        <v>0.20996271436505401</v>
      </c>
      <c r="P59">
        <v>197626.38491265301</v>
      </c>
      <c r="Q59">
        <v>197626.38491265301</v>
      </c>
      <c r="R59">
        <v>197626.38491265301</v>
      </c>
      <c r="S59">
        <v>8.9658361457958399E-2</v>
      </c>
      <c r="T59">
        <v>197626.295254292</v>
      </c>
      <c r="U59">
        <v>197626.295254292</v>
      </c>
      <c r="V59">
        <v>1.02364035486548</v>
      </c>
      <c r="W59" s="44">
        <v>5.7435524468904502E-8</v>
      </c>
      <c r="X59">
        <v>1.0237213905233</v>
      </c>
      <c r="Y59" s="44">
        <v>197626.29533532701</v>
      </c>
      <c r="Z59" s="44">
        <v>197626.29533532701</v>
      </c>
      <c r="AA59">
        <v>197626.29533532701</v>
      </c>
      <c r="AB59">
        <v>127.16530986934001</v>
      </c>
      <c r="AC59" s="44">
        <v>1.05388530918769E-9</v>
      </c>
      <c r="AD59" s="44">
        <v>1.0538853091876501E-9</v>
      </c>
      <c r="AE59" s="44">
        <v>2.1702471351603201E-39</v>
      </c>
      <c r="AF59" s="44">
        <v>197499.130025458</v>
      </c>
      <c r="AG59" s="44">
        <v>197499.130025458</v>
      </c>
      <c r="AH59">
        <v>197069.303872252</v>
      </c>
      <c r="AI59">
        <v>197069.303872252</v>
      </c>
      <c r="AJ59">
        <v>197069.303872252</v>
      </c>
      <c r="AK59">
        <v>197069.303872252</v>
      </c>
      <c r="AL59">
        <v>197069.303872252</v>
      </c>
      <c r="AM59">
        <v>180301.50532753</v>
      </c>
      <c r="AN59">
        <v>16767.7985447221</v>
      </c>
      <c r="AO59">
        <v>446.07187979702002</v>
      </c>
      <c r="AP59">
        <v>446.07187979702002</v>
      </c>
      <c r="AQ59">
        <v>446.07187979702002</v>
      </c>
      <c r="AR59">
        <v>446.07187979702002</v>
      </c>
      <c r="AS59">
        <v>446.07187979702002</v>
      </c>
      <c r="AT59">
        <v>441.61116099905001</v>
      </c>
      <c r="AU59">
        <v>4.4607187979702001</v>
      </c>
      <c r="AV59">
        <v>127.165309868287</v>
      </c>
      <c r="AW59">
        <v>125.893656769605</v>
      </c>
      <c r="AX59">
        <v>1.27165309868287</v>
      </c>
      <c r="AY59">
        <v>0</v>
      </c>
      <c r="AZ59">
        <v>0</v>
      </c>
      <c r="BA59">
        <v>0</v>
      </c>
      <c r="BB59">
        <v>0</v>
      </c>
      <c r="BC59">
        <v>0</v>
      </c>
      <c r="BD59" s="62">
        <v>0</v>
      </c>
    </row>
    <row r="60" spans="2:56">
      <c r="B60" s="61" t="s">
        <v>131</v>
      </c>
      <c r="C60" t="s">
        <v>116</v>
      </c>
      <c r="D60">
        <v>13186.8</v>
      </c>
      <c r="E60">
        <v>0</v>
      </c>
      <c r="F60">
        <v>40695.934923918801</v>
      </c>
      <c r="G60">
        <v>40695.934923918801</v>
      </c>
      <c r="H60">
        <v>40695.934923918801</v>
      </c>
      <c r="I60">
        <v>40695.934923918801</v>
      </c>
      <c r="J60">
        <v>28344.536499999998</v>
      </c>
      <c r="K60">
        <v>28344.536499999998</v>
      </c>
      <c r="L60">
        <v>28344.536499999998</v>
      </c>
      <c r="M60">
        <v>28344.536499999998</v>
      </c>
      <c r="N60">
        <v>28344.536499999998</v>
      </c>
      <c r="O60">
        <v>0.20312416833990601</v>
      </c>
      <c r="P60">
        <v>28341.9604533932</v>
      </c>
      <c r="Q60">
        <v>28341.9604533932</v>
      </c>
      <c r="R60">
        <v>28341.9604533932</v>
      </c>
      <c r="S60">
        <v>0.11235901292419</v>
      </c>
      <c r="T60">
        <v>28341.848094380399</v>
      </c>
      <c r="U60">
        <v>28341.848094380399</v>
      </c>
      <c r="V60">
        <v>3.1934554644833102</v>
      </c>
      <c r="W60" s="44">
        <v>7.4918186669103899E-6</v>
      </c>
      <c r="X60">
        <v>3.19370079862937</v>
      </c>
      <c r="Y60" s="44">
        <v>28341.848339714299</v>
      </c>
      <c r="Z60">
        <v>28341.848339714299</v>
      </c>
      <c r="AA60">
        <v>28341.848339714299</v>
      </c>
      <c r="AB60">
        <v>4314.6357884266499</v>
      </c>
      <c r="AC60">
        <v>0.43146132957626199</v>
      </c>
      <c r="AD60">
        <v>0.43146132957623401</v>
      </c>
      <c r="AE60" s="44">
        <v>1.1295021034885001E-14</v>
      </c>
      <c r="AF60" s="44">
        <v>24027.212551287801</v>
      </c>
      <c r="AG60">
        <v>24027.212551287801</v>
      </c>
      <c r="AH60">
        <v>7317.8217921251999</v>
      </c>
      <c r="AI60">
        <v>7317.8217921251999</v>
      </c>
      <c r="AJ60">
        <v>7317.8217921251999</v>
      </c>
      <c r="AK60">
        <v>7317.8217921251999</v>
      </c>
      <c r="AL60">
        <v>7317.8217921251999</v>
      </c>
      <c r="AM60">
        <v>6695.17910153107</v>
      </c>
      <c r="AN60">
        <v>622.64269059413596</v>
      </c>
      <c r="AO60">
        <v>16709.993473294599</v>
      </c>
      <c r="AP60">
        <v>16709.993473294599</v>
      </c>
      <c r="AQ60">
        <v>16709.993473294599</v>
      </c>
      <c r="AR60">
        <v>16709.993473294599</v>
      </c>
      <c r="AS60">
        <v>16709.993473294599</v>
      </c>
      <c r="AT60">
        <v>16542.893538561701</v>
      </c>
      <c r="AU60">
        <v>167.099934732946</v>
      </c>
      <c r="AV60">
        <v>4314.2043270970698</v>
      </c>
      <c r="AW60">
        <v>4271.0622838261197</v>
      </c>
      <c r="AX60">
        <v>43.142043270970703</v>
      </c>
      <c r="AY60">
        <v>0</v>
      </c>
      <c r="AZ60">
        <v>0</v>
      </c>
      <c r="BA60">
        <v>0</v>
      </c>
      <c r="BB60">
        <v>0</v>
      </c>
      <c r="BC60">
        <v>0</v>
      </c>
      <c r="BD60" s="62">
        <v>0</v>
      </c>
    </row>
    <row r="61" spans="2:56">
      <c r="B61" s="61" t="s">
        <v>133</v>
      </c>
      <c r="C61" t="s">
        <v>116</v>
      </c>
      <c r="D61">
        <v>0</v>
      </c>
      <c r="E61">
        <v>0</v>
      </c>
      <c r="F61">
        <v>3.8575920635591001</v>
      </c>
      <c r="G61">
        <v>3.8575920635591001</v>
      </c>
      <c r="H61">
        <v>3.8575920635591001</v>
      </c>
      <c r="I61">
        <v>3.8575920635591001</v>
      </c>
      <c r="J61">
        <v>126.35705460440199</v>
      </c>
      <c r="K61">
        <v>126.35705460440199</v>
      </c>
      <c r="L61">
        <v>126.35705460440199</v>
      </c>
      <c r="M61">
        <v>126.35705460440199</v>
      </c>
      <c r="N61">
        <v>126.35705460440199</v>
      </c>
      <c r="O61">
        <v>6.3581650537586102E-3</v>
      </c>
      <c r="P61">
        <v>126.34367578416899</v>
      </c>
      <c r="Q61">
        <v>126.34367578416899</v>
      </c>
      <c r="R61">
        <v>126.34367578416899</v>
      </c>
      <c r="S61">
        <v>4.2551351931421101E-3</v>
      </c>
      <c r="T61">
        <v>126.339420648976</v>
      </c>
      <c r="U61">
        <v>126.339420648976</v>
      </c>
      <c r="V61">
        <v>0.26025887843422801</v>
      </c>
      <c r="W61">
        <v>1.0754155194E-4</v>
      </c>
      <c r="X61">
        <v>0.260172227735948</v>
      </c>
      <c r="Y61">
        <v>126.33933399827799</v>
      </c>
      <c r="Z61">
        <v>126.33933399827799</v>
      </c>
      <c r="AA61">
        <v>126.33933399827799</v>
      </c>
      <c r="AB61">
        <v>122.44255535592499</v>
      </c>
      <c r="AC61">
        <v>122.442527845615</v>
      </c>
      <c r="AD61" s="44">
        <v>9.4418222958600604E-13</v>
      </c>
      <c r="AE61">
        <v>122.442527845618</v>
      </c>
      <c r="AF61">
        <v>3.89677864235107</v>
      </c>
      <c r="AG61" s="44">
        <v>3.89677864235107</v>
      </c>
      <c r="AH61">
        <v>3.2801065915471399E-3</v>
      </c>
      <c r="AI61">
        <v>3.2801065915471399E-3</v>
      </c>
      <c r="AJ61">
        <v>3.2801065915471399E-3</v>
      </c>
      <c r="AK61">
        <v>3.2801065915471399E-3</v>
      </c>
      <c r="AL61">
        <v>3.2801065915471399E-3</v>
      </c>
      <c r="AM61" s="44">
        <v>3.0010161119464699E-3</v>
      </c>
      <c r="AN61" s="44">
        <v>2.7909047960067201E-4</v>
      </c>
      <c r="AO61" s="44">
        <v>3.8934988002422899</v>
      </c>
      <c r="AP61" s="44">
        <v>3.8934988002422899</v>
      </c>
      <c r="AQ61" s="44">
        <v>3.8934988002422899</v>
      </c>
      <c r="AR61">
        <v>3.8934988002422899</v>
      </c>
      <c r="AS61">
        <v>3.8934988002422899</v>
      </c>
      <c r="AT61">
        <v>3.8545638122398702</v>
      </c>
      <c r="AU61">
        <v>3.8934988002422899E-2</v>
      </c>
      <c r="AV61" s="44">
        <v>2.7510310398341401E-5</v>
      </c>
      <c r="AW61" s="44">
        <v>2.72352072943581E-5</v>
      </c>
      <c r="AX61" s="44">
        <v>2.7510310398341399E-7</v>
      </c>
      <c r="AY61">
        <v>0</v>
      </c>
      <c r="AZ61">
        <v>0</v>
      </c>
      <c r="BA61">
        <v>0</v>
      </c>
      <c r="BB61">
        <v>0</v>
      </c>
      <c r="BC61">
        <v>0</v>
      </c>
      <c r="BD61" s="62">
        <v>0</v>
      </c>
    </row>
    <row r="62" spans="2:56">
      <c r="B62" s="61" t="s">
        <v>134</v>
      </c>
      <c r="C62" t="s">
        <v>116</v>
      </c>
      <c r="D62">
        <v>0</v>
      </c>
      <c r="E62">
        <v>0</v>
      </c>
      <c r="F62">
        <v>338.47623823234301</v>
      </c>
      <c r="G62">
        <v>338.47623823234301</v>
      </c>
      <c r="H62">
        <v>338.47623823234301</v>
      </c>
      <c r="I62">
        <v>338.47623823234301</v>
      </c>
      <c r="J62">
        <v>2511.5368700736799</v>
      </c>
      <c r="K62">
        <v>2511.5368700736799</v>
      </c>
      <c r="L62">
        <v>2511.5368700736799</v>
      </c>
      <c r="M62">
        <v>2511.5368700736799</v>
      </c>
      <c r="N62">
        <v>2511.5368700736799</v>
      </c>
      <c r="O62">
        <v>8.4735455812960297E-2</v>
      </c>
      <c r="P62">
        <v>2511.2666028506901</v>
      </c>
      <c r="Q62">
        <v>2511.2666028506901</v>
      </c>
      <c r="R62">
        <v>2511.2666028506901</v>
      </c>
      <c r="S62">
        <v>5.48197714919317E-2</v>
      </c>
      <c r="T62">
        <v>2511.2117830791799</v>
      </c>
      <c r="U62">
        <v>2511.2117830791799</v>
      </c>
      <c r="V62">
        <v>2.8590082179094698</v>
      </c>
      <c r="W62">
        <v>3.7484760009025601E-4</v>
      </c>
      <c r="X62">
        <v>2.85888072513848</v>
      </c>
      <c r="Y62">
        <v>2511.21165558641</v>
      </c>
      <c r="Z62">
        <v>2511.21165558641</v>
      </c>
      <c r="AA62">
        <v>2511.21165558641</v>
      </c>
      <c r="AB62">
        <v>2169.3988584577901</v>
      </c>
      <c r="AC62">
        <v>2169.1825933034202</v>
      </c>
      <c r="AD62">
        <v>2167.01343972831</v>
      </c>
      <c r="AE62">
        <v>2.1691535750314399</v>
      </c>
      <c r="AF62">
        <v>341.81279712860697</v>
      </c>
      <c r="AG62">
        <v>341.81279712860697</v>
      </c>
      <c r="AH62">
        <v>1.7670970645295101</v>
      </c>
      <c r="AI62">
        <v>1.7670970645295101</v>
      </c>
      <c r="AJ62">
        <v>1.7670970645295101</v>
      </c>
      <c r="AK62">
        <v>1.7670970645295101</v>
      </c>
      <c r="AL62">
        <v>1.7670970645295101</v>
      </c>
      <c r="AM62">
        <v>1.6167422045650801</v>
      </c>
      <c r="AN62">
        <v>0.15035485996443201</v>
      </c>
      <c r="AO62">
        <v>340.04585204540098</v>
      </c>
      <c r="AP62">
        <v>340.04585204540098</v>
      </c>
      <c r="AQ62">
        <v>340.04585204540098</v>
      </c>
      <c r="AR62">
        <v>340.04585204540098</v>
      </c>
      <c r="AS62">
        <v>340.04585204540098</v>
      </c>
      <c r="AT62">
        <v>336.645393524947</v>
      </c>
      <c r="AU62">
        <v>3.4004585204540101</v>
      </c>
      <c r="AV62">
        <v>0.21626515437475999</v>
      </c>
      <c r="AW62">
        <v>0.21410250283101301</v>
      </c>
      <c r="AX62">
        <v>2.1626515437476001E-3</v>
      </c>
      <c r="AY62">
        <v>0</v>
      </c>
      <c r="AZ62">
        <v>0</v>
      </c>
      <c r="BA62">
        <v>0</v>
      </c>
      <c r="BB62">
        <v>0</v>
      </c>
      <c r="BC62">
        <v>0</v>
      </c>
      <c r="BD62" s="62">
        <v>0</v>
      </c>
    </row>
    <row r="63" spans="2:56">
      <c r="B63" s="61" t="s">
        <v>135</v>
      </c>
      <c r="C63" t="s">
        <v>116</v>
      </c>
      <c r="D63">
        <v>0</v>
      </c>
      <c r="E63">
        <v>0</v>
      </c>
      <c r="F63">
        <v>66.628656430606696</v>
      </c>
      <c r="G63">
        <v>66.628656430606696</v>
      </c>
      <c r="H63">
        <v>66.628656430606696</v>
      </c>
      <c r="I63">
        <v>66.628656430606696</v>
      </c>
      <c r="J63">
        <v>2624.5266182754599</v>
      </c>
      <c r="K63">
        <v>2624.5266182754599</v>
      </c>
      <c r="L63">
        <v>2624.5266182754599</v>
      </c>
      <c r="M63">
        <v>2624.5266182754599</v>
      </c>
      <c r="N63">
        <v>2624.5266182754599</v>
      </c>
      <c r="O63">
        <v>0.14815621953198799</v>
      </c>
      <c r="P63">
        <v>2624.2552146943599</v>
      </c>
      <c r="Q63">
        <v>2624.2552146943599</v>
      </c>
      <c r="R63">
        <v>2624.2552146943599</v>
      </c>
      <c r="S63">
        <v>0.1103667793605</v>
      </c>
      <c r="T63">
        <v>2624.1448479150099</v>
      </c>
      <c r="U63">
        <v>2624.1448479150099</v>
      </c>
      <c r="V63">
        <v>11.9046542180507</v>
      </c>
      <c r="W63">
        <v>4.6312008372290303E-3</v>
      </c>
      <c r="X63">
        <v>11.900966634325</v>
      </c>
      <c r="Y63">
        <v>2624.1411603312799</v>
      </c>
      <c r="Z63">
        <v>2624.1411603312799</v>
      </c>
      <c r="AA63">
        <v>2624.1411603312799</v>
      </c>
      <c r="AB63">
        <v>2556.8378647039099</v>
      </c>
      <c r="AC63">
        <v>2556.8366155079498</v>
      </c>
      <c r="AD63">
        <v>2.6065817270757701</v>
      </c>
      <c r="AE63">
        <v>2554.2300337809502</v>
      </c>
      <c r="AF63">
        <v>67.3032956273466</v>
      </c>
      <c r="AG63">
        <v>67.3032956273466</v>
      </c>
      <c r="AH63">
        <v>3.7903285617890602E-2</v>
      </c>
      <c r="AI63">
        <v>3.7903285617890602E-2</v>
      </c>
      <c r="AJ63">
        <v>3.7903285617890602E-2</v>
      </c>
      <c r="AK63">
        <v>3.7903285617890602E-2</v>
      </c>
      <c r="AL63">
        <v>3.7903285617890602E-2</v>
      </c>
      <c r="AM63">
        <v>3.4678254398234798E-2</v>
      </c>
      <c r="AN63">
        <v>3.2250312196558102E-3</v>
      </c>
      <c r="AO63" s="44">
        <v>67.265395426459506</v>
      </c>
      <c r="AP63">
        <v>67.265395426459506</v>
      </c>
      <c r="AQ63" s="44">
        <v>67.265395426459506</v>
      </c>
      <c r="AR63">
        <v>67.265395426459506</v>
      </c>
      <c r="AS63">
        <v>67.265395426459506</v>
      </c>
      <c r="AT63">
        <v>66.592741472194902</v>
      </c>
      <c r="AU63">
        <v>0.67265395426459496</v>
      </c>
      <c r="AV63">
        <v>1.24919597324115E-3</v>
      </c>
      <c r="AW63">
        <v>1.23670401350875E-3</v>
      </c>
      <c r="AX63" s="44">
        <v>1.24919597324115E-5</v>
      </c>
      <c r="AY63">
        <v>0</v>
      </c>
      <c r="AZ63">
        <v>0</v>
      </c>
      <c r="BA63">
        <v>0</v>
      </c>
      <c r="BB63">
        <v>0</v>
      </c>
      <c r="BC63">
        <v>0</v>
      </c>
      <c r="BD63" s="62">
        <v>0</v>
      </c>
    </row>
    <row r="64" spans="2:56">
      <c r="B64" s="61" t="s">
        <v>165</v>
      </c>
      <c r="C64" t="s">
        <v>116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 s="62">
        <v>0</v>
      </c>
    </row>
    <row r="65" spans="2:56">
      <c r="B65" s="61" t="s">
        <v>136</v>
      </c>
      <c r="C65" t="s">
        <v>116</v>
      </c>
      <c r="D65">
        <v>0</v>
      </c>
      <c r="E65">
        <v>0</v>
      </c>
      <c r="F65" s="44">
        <v>3.5999699195706998E-7</v>
      </c>
      <c r="G65" s="44">
        <v>3.5999699195706998E-7</v>
      </c>
      <c r="H65" s="44">
        <v>3.5999699195706998E-7</v>
      </c>
      <c r="I65" s="44">
        <v>3.5999699195706998E-7</v>
      </c>
      <c r="J65">
        <v>153.985533324024</v>
      </c>
      <c r="K65">
        <v>153.985533324024</v>
      </c>
      <c r="L65">
        <v>153.985533324024</v>
      </c>
      <c r="M65">
        <v>153.985533324024</v>
      </c>
      <c r="N65">
        <v>153.985533324024</v>
      </c>
      <c r="O65">
        <v>2.25044661829924</v>
      </c>
      <c r="P65">
        <v>154.61621155270501</v>
      </c>
      <c r="Q65">
        <v>154.61621155270501</v>
      </c>
      <c r="R65">
        <v>154.61621155270501</v>
      </c>
      <c r="S65">
        <v>2.8943024611965402</v>
      </c>
      <c r="T65">
        <v>151.721909091508</v>
      </c>
      <c r="U65">
        <v>151.721909091508</v>
      </c>
      <c r="V65">
        <v>144.73273665002301</v>
      </c>
      <c r="W65">
        <v>144.71826348319701</v>
      </c>
      <c r="X65">
        <v>1.4474356996873701E-2</v>
      </c>
      <c r="Y65">
        <v>7.0036467984873001</v>
      </c>
      <c r="Z65">
        <v>7.0036467984873001</v>
      </c>
      <c r="AA65" s="44">
        <v>7.0036467984873001</v>
      </c>
      <c r="AB65" s="44">
        <v>7.0036464348539003</v>
      </c>
      <c r="AC65" s="44">
        <v>7.0036464348539198</v>
      </c>
      <c r="AD65" s="44">
        <v>5.2571403709701998E-239</v>
      </c>
      <c r="AE65" s="44">
        <v>7.0036464348541303</v>
      </c>
      <c r="AF65" s="44">
        <v>3.6363332521509001E-7</v>
      </c>
      <c r="AG65" s="44">
        <v>3.6363332521509001E-7</v>
      </c>
      <c r="AH65" s="44">
        <v>7.82617643130557E-17</v>
      </c>
      <c r="AI65" s="44">
        <v>7.82617643130557E-17</v>
      </c>
      <c r="AJ65" s="44">
        <v>7.82617643130557E-17</v>
      </c>
      <c r="AK65" s="44">
        <v>7.82617643130557E-17</v>
      </c>
      <c r="AL65" s="44">
        <v>7.82617643130557E-17</v>
      </c>
      <c r="AM65" s="44">
        <v>7.1602799816958998E-17</v>
      </c>
      <c r="AN65" s="44">
        <v>6.6589644960968004E-18</v>
      </c>
      <c r="AO65" s="44">
        <v>3.6363332513683597E-7</v>
      </c>
      <c r="AP65" s="44">
        <v>3.6363332513683597E-7</v>
      </c>
      <c r="AQ65" s="44">
        <v>3.6363332513683597E-7</v>
      </c>
      <c r="AR65" s="44">
        <v>3.6363332513683597E-7</v>
      </c>
      <c r="AS65" s="44">
        <v>3.6363332513683597E-7</v>
      </c>
      <c r="AT65" s="44">
        <v>3.59996991885468E-7</v>
      </c>
      <c r="AU65" s="44">
        <v>3.63633325136836E-9</v>
      </c>
      <c r="AV65" s="44">
        <v>2.52589328445913E-26</v>
      </c>
      <c r="AW65" s="44">
        <v>2.5006343516145501E-26</v>
      </c>
      <c r="AX65" s="44">
        <v>2.5258932844591301E-28</v>
      </c>
      <c r="AY65" s="44">
        <v>0</v>
      </c>
      <c r="AZ65" s="44">
        <v>0</v>
      </c>
      <c r="BA65" s="44">
        <v>0</v>
      </c>
      <c r="BB65" s="44">
        <v>0</v>
      </c>
      <c r="BC65">
        <v>0</v>
      </c>
      <c r="BD65" s="62">
        <v>0</v>
      </c>
    </row>
    <row r="66" spans="2:56">
      <c r="B66" s="61" t="s">
        <v>137</v>
      </c>
      <c r="C66" t="s">
        <v>116</v>
      </c>
      <c r="D66">
        <v>0</v>
      </c>
      <c r="E66">
        <v>0</v>
      </c>
      <c r="F66" s="44">
        <v>1.8118092930555701E-56</v>
      </c>
      <c r="G66" s="44">
        <v>1.8118092930555701E-56</v>
      </c>
      <c r="H66" s="44">
        <v>1.8118092930555701E-56</v>
      </c>
      <c r="I66" s="44">
        <v>1.8118092930555701E-56</v>
      </c>
      <c r="J66">
        <v>33.068929400000201</v>
      </c>
      <c r="K66">
        <v>33.068929400000201</v>
      </c>
      <c r="L66">
        <v>33.068929400000201</v>
      </c>
      <c r="M66">
        <v>33.068929400000201</v>
      </c>
      <c r="N66">
        <v>33.068929400000201</v>
      </c>
      <c r="O66">
        <v>32.199125472334302</v>
      </c>
      <c r="P66">
        <v>8.62377588381562</v>
      </c>
      <c r="Q66">
        <v>8.62377588381562</v>
      </c>
      <c r="R66">
        <v>8.62377588381562</v>
      </c>
      <c r="S66">
        <v>7.7547311296075003</v>
      </c>
      <c r="T66">
        <v>0.86904475420779703</v>
      </c>
      <c r="U66">
        <v>0.86904475420779703</v>
      </c>
      <c r="V66">
        <v>0.86903726720896102</v>
      </c>
      <c r="W66" s="44">
        <v>0.86903726712974705</v>
      </c>
      <c r="X66" s="44">
        <v>7.8992484258855306E-11</v>
      </c>
      <c r="Y66" s="44">
        <v>7.4870778619700398E-6</v>
      </c>
      <c r="Z66" s="44">
        <v>7.4870778619700398E-6</v>
      </c>
      <c r="AA66" s="44">
        <v>7.4870778619700398E-6</v>
      </c>
      <c r="AB66" s="44">
        <v>7.4870778619698797E-6</v>
      </c>
      <c r="AC66" s="44">
        <v>7.4870778619698797E-6</v>
      </c>
      <c r="AD66" s="44">
        <v>0</v>
      </c>
      <c r="AE66" s="44">
        <v>7.4870778619701203E-6</v>
      </c>
      <c r="AF66" s="44">
        <v>8.0486057536502704E-20</v>
      </c>
      <c r="AG66" s="44">
        <v>8.0486057536502704E-20</v>
      </c>
      <c r="AH66" s="44">
        <v>0</v>
      </c>
      <c r="AI66" s="44">
        <v>0</v>
      </c>
      <c r="AJ66">
        <v>0</v>
      </c>
      <c r="AK66">
        <v>0</v>
      </c>
      <c r="AL66">
        <v>0</v>
      </c>
      <c r="AM66" s="44">
        <v>0</v>
      </c>
      <c r="AN66" s="44">
        <v>0</v>
      </c>
      <c r="AO66" s="44">
        <v>0</v>
      </c>
      <c r="AP66" s="44">
        <v>0</v>
      </c>
      <c r="AQ66" s="44">
        <v>0</v>
      </c>
      <c r="AR66">
        <v>0</v>
      </c>
      <c r="AS66">
        <v>0</v>
      </c>
      <c r="AT66">
        <v>0</v>
      </c>
      <c r="AU66">
        <v>0</v>
      </c>
      <c r="AV66" s="44">
        <v>1.8301103970258299E-56</v>
      </c>
      <c r="AW66" s="44">
        <v>1.8118092930555801E-56</v>
      </c>
      <c r="AX66" s="44">
        <v>1.83011039702583E-58</v>
      </c>
      <c r="AY66">
        <v>0</v>
      </c>
      <c r="AZ66">
        <v>0</v>
      </c>
      <c r="BA66">
        <v>0</v>
      </c>
      <c r="BB66">
        <v>0</v>
      </c>
      <c r="BC66">
        <v>0</v>
      </c>
      <c r="BD66" s="62">
        <v>0</v>
      </c>
    </row>
    <row r="67" spans="2:56">
      <c r="B67" s="61" t="s">
        <v>91</v>
      </c>
      <c r="C67" t="s">
        <v>116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1392.0025000000001</v>
      </c>
      <c r="AZ67">
        <v>0</v>
      </c>
      <c r="BA67">
        <v>1392.0025000000001</v>
      </c>
      <c r="BB67">
        <v>1392.0025000000001</v>
      </c>
      <c r="BC67">
        <v>0</v>
      </c>
      <c r="BD67" s="62">
        <v>0</v>
      </c>
    </row>
    <row r="68" spans="2:56">
      <c r="B68" s="61" t="s">
        <v>166</v>
      </c>
      <c r="C68" t="s">
        <v>116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 s="62">
        <v>0</v>
      </c>
    </row>
    <row r="69" spans="2:56">
      <c r="B69" s="61" t="s">
        <v>167</v>
      </c>
      <c r="C69" t="s">
        <v>116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1400</v>
      </c>
      <c r="BA69">
        <v>1400</v>
      </c>
      <c r="BB69">
        <v>1400</v>
      </c>
      <c r="BC69">
        <v>7.9975000000000298</v>
      </c>
      <c r="BD69" s="62">
        <v>7.9975000000000298</v>
      </c>
    </row>
    <row r="70" spans="2:56">
      <c r="B70" s="61" t="s">
        <v>168</v>
      </c>
      <c r="C70" t="s">
        <v>116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1392.0025000000001</v>
      </c>
      <c r="BD70" s="62">
        <v>1392.0025000000001</v>
      </c>
    </row>
    <row r="71" spans="2:56">
      <c r="B71" s="61" t="s">
        <v>117</v>
      </c>
      <c r="BD71" s="62"/>
    </row>
    <row r="72" spans="2:56">
      <c r="B72" s="61" t="s">
        <v>132</v>
      </c>
      <c r="D72">
        <v>0</v>
      </c>
      <c r="E72">
        <v>1</v>
      </c>
      <c r="F72">
        <v>0.814821039726359</v>
      </c>
      <c r="G72">
        <v>0.814821039726359</v>
      </c>
      <c r="H72">
        <v>0.814821039726359</v>
      </c>
      <c r="I72">
        <v>0.814821039726359</v>
      </c>
      <c r="J72">
        <v>0.85398234671434803</v>
      </c>
      <c r="K72">
        <v>0.85398234671434803</v>
      </c>
      <c r="L72">
        <v>0.85398234671434803</v>
      </c>
      <c r="M72">
        <v>0.85398234671434803</v>
      </c>
      <c r="N72">
        <v>0.85398234671434803</v>
      </c>
      <c r="O72">
        <v>5.9815184262254203E-3</v>
      </c>
      <c r="P72">
        <v>0.85407077939939802</v>
      </c>
      <c r="Q72">
        <v>0.85407077939939802</v>
      </c>
      <c r="R72">
        <v>0.85407077939939802</v>
      </c>
      <c r="S72">
        <v>8.1356037606846298E-3</v>
      </c>
      <c r="T72">
        <v>0.85411107036864897</v>
      </c>
      <c r="U72">
        <v>0.85411107036864897</v>
      </c>
      <c r="V72">
        <v>6.2097975188307401E-3</v>
      </c>
      <c r="W72" s="44">
        <v>3.9449528844618298E-10</v>
      </c>
      <c r="X72">
        <v>5.3175038963823799E-2</v>
      </c>
      <c r="Y72" s="44">
        <v>0.85464883441752404</v>
      </c>
      <c r="Z72" s="44">
        <v>0.85464883441752404</v>
      </c>
      <c r="AA72">
        <v>0.85464883441752404</v>
      </c>
      <c r="AB72">
        <v>1.36773894366431E-2</v>
      </c>
      <c r="AC72" s="44">
        <v>2.1703206252687599E-13</v>
      </c>
      <c r="AD72" s="44">
        <v>4.8564991086507399E-13</v>
      </c>
      <c r="AE72" s="44">
        <v>8.0803130370403003E-43</v>
      </c>
      <c r="AF72" s="44">
        <v>0.88987881228338495</v>
      </c>
      <c r="AG72" s="44">
        <v>0.88987881228338495</v>
      </c>
      <c r="AH72">
        <v>0.96418773790093004</v>
      </c>
      <c r="AI72">
        <v>0.96418773790093004</v>
      </c>
      <c r="AJ72">
        <v>0.96418773790093004</v>
      </c>
      <c r="AK72">
        <v>0.96418773790093004</v>
      </c>
      <c r="AL72">
        <v>0.96418773790093004</v>
      </c>
      <c r="AM72">
        <v>0.96418773790093004</v>
      </c>
      <c r="AN72">
        <v>0.96418773790093004</v>
      </c>
      <c r="AO72">
        <v>2.53922138877994E-2</v>
      </c>
      <c r="AP72">
        <v>2.53922138877994E-2</v>
      </c>
      <c r="AQ72">
        <v>2.53922138877994E-2</v>
      </c>
      <c r="AR72">
        <v>2.53922138877994E-2</v>
      </c>
      <c r="AS72">
        <v>2.53922138877994E-2</v>
      </c>
      <c r="AT72">
        <v>2.53922138877994E-2</v>
      </c>
      <c r="AU72">
        <v>2.53922138877994E-2</v>
      </c>
      <c r="AV72">
        <v>2.86306008974699E-2</v>
      </c>
      <c r="AW72">
        <v>2.86306008974699E-2</v>
      </c>
      <c r="AX72">
        <v>2.86306008974699E-2</v>
      </c>
      <c r="AY72">
        <v>0</v>
      </c>
      <c r="AZ72">
        <v>0</v>
      </c>
      <c r="BA72">
        <v>0</v>
      </c>
      <c r="BB72">
        <v>0</v>
      </c>
      <c r="BC72">
        <v>0</v>
      </c>
      <c r="BD72" s="62">
        <v>0</v>
      </c>
    </row>
    <row r="73" spans="2:56">
      <c r="B73" s="61" t="s">
        <v>131</v>
      </c>
      <c r="D73">
        <v>1</v>
      </c>
      <c r="E73">
        <v>0</v>
      </c>
      <c r="F73">
        <v>0.183336570365879</v>
      </c>
      <c r="G73">
        <v>0.183336570365879</v>
      </c>
      <c r="H73">
        <v>0.183336570365879</v>
      </c>
      <c r="I73">
        <v>0.183336570365879</v>
      </c>
      <c r="J73">
        <v>0.12247148292839299</v>
      </c>
      <c r="K73">
        <v>0.12247148292839299</v>
      </c>
      <c r="L73">
        <v>0.12247148292839299</v>
      </c>
      <c r="M73">
        <v>0.12247148292839299</v>
      </c>
      <c r="N73">
        <v>0.12247148292839299</v>
      </c>
      <c r="O73">
        <v>5.7866986498584204E-3</v>
      </c>
      <c r="P73">
        <v>0.122483848828359</v>
      </c>
      <c r="Q73">
        <v>0.122483848828359</v>
      </c>
      <c r="R73">
        <v>0.122483848828359</v>
      </c>
      <c r="S73">
        <v>1.0195461898124101E-2</v>
      </c>
      <c r="T73">
        <v>0.122489197001689</v>
      </c>
      <c r="U73">
        <v>0.122489197001689</v>
      </c>
      <c r="V73">
        <v>1.93727335246088E-2</v>
      </c>
      <c r="W73" s="44">
        <v>5.1457476767525798E-8</v>
      </c>
      <c r="X73">
        <v>0.165890022400628</v>
      </c>
      <c r="Y73" s="44">
        <v>0.122566319465106</v>
      </c>
      <c r="Z73" s="44">
        <v>0.122566319465106</v>
      </c>
      <c r="AA73">
        <v>0.122566319465106</v>
      </c>
      <c r="AB73">
        <v>0.46406487756939002</v>
      </c>
      <c r="AC73" s="44">
        <v>8.8853067257100806E-5</v>
      </c>
      <c r="AD73">
        <v>1.9882538870566501E-4</v>
      </c>
      <c r="AE73" s="44">
        <v>4.20538768342083E-18</v>
      </c>
      <c r="AF73" s="44">
        <v>0.108260261019197</v>
      </c>
      <c r="AG73">
        <v>0.108260261019197</v>
      </c>
      <c r="AH73">
        <v>3.58034148468152E-2</v>
      </c>
      <c r="AI73">
        <v>3.58034148468152E-2</v>
      </c>
      <c r="AJ73">
        <v>3.58034148468152E-2</v>
      </c>
      <c r="AK73">
        <v>3.58034148468152E-2</v>
      </c>
      <c r="AL73">
        <v>3.58034148468152E-2</v>
      </c>
      <c r="AM73">
        <v>3.58034148468152E-2</v>
      </c>
      <c r="AN73">
        <v>3.58034148468152E-2</v>
      </c>
      <c r="AO73">
        <v>0.95120035033524897</v>
      </c>
      <c r="AP73">
        <v>0.95120035033524897</v>
      </c>
      <c r="AQ73">
        <v>0.95120035033524897</v>
      </c>
      <c r="AR73">
        <v>0.95120035033524897</v>
      </c>
      <c r="AS73">
        <v>0.95120035033524897</v>
      </c>
      <c r="AT73">
        <v>0.95120035033524897</v>
      </c>
      <c r="AU73">
        <v>0.95120035033524897</v>
      </c>
      <c r="AV73">
        <v>0.971320420696411</v>
      </c>
      <c r="AW73">
        <v>0.971320420696411</v>
      </c>
      <c r="AX73">
        <v>0.971320420696411</v>
      </c>
      <c r="AY73">
        <v>0</v>
      </c>
      <c r="AZ73">
        <v>0</v>
      </c>
      <c r="BA73">
        <v>0</v>
      </c>
      <c r="BB73">
        <v>0</v>
      </c>
      <c r="BC73">
        <v>0</v>
      </c>
      <c r="BD73" s="62">
        <v>0</v>
      </c>
    </row>
    <row r="74" spans="2:56">
      <c r="B74" s="61" t="s">
        <v>133</v>
      </c>
      <c r="D74">
        <v>0</v>
      </c>
      <c r="E74">
        <v>0</v>
      </c>
      <c r="F74" s="44">
        <v>1.73785833923153E-5</v>
      </c>
      <c r="G74" s="44">
        <v>1.73785833923153E-5</v>
      </c>
      <c r="H74" s="44">
        <v>1.73785833923153E-5</v>
      </c>
      <c r="I74" s="44">
        <v>1.73785833923153E-5</v>
      </c>
      <c r="J74">
        <v>5.4596538757530901E-4</v>
      </c>
      <c r="K74">
        <v>5.4596538757530901E-4</v>
      </c>
      <c r="L74">
        <v>5.4596538757530901E-4</v>
      </c>
      <c r="M74">
        <v>5.4596538757530901E-4</v>
      </c>
      <c r="N74">
        <v>5.4596538757530901E-4</v>
      </c>
      <c r="O74">
        <v>1.81134453043486E-4</v>
      </c>
      <c r="P74">
        <v>5.4601232369282397E-4</v>
      </c>
      <c r="Q74">
        <v>5.4601232369282397E-4</v>
      </c>
      <c r="R74">
        <v>5.4601232369282397E-4</v>
      </c>
      <c r="S74">
        <v>3.86111159256253E-4</v>
      </c>
      <c r="T74">
        <v>5.4601993961078698E-4</v>
      </c>
      <c r="U74">
        <v>5.4601993961078698E-4</v>
      </c>
      <c r="V74">
        <v>1.5788308167734601E-3</v>
      </c>
      <c r="W74" s="44">
        <v>7.3864800478124197E-7</v>
      </c>
      <c r="X74">
        <v>1.3514095216953501E-2</v>
      </c>
      <c r="Y74" s="44">
        <v>5.4636334886257805E-4</v>
      </c>
      <c r="Z74">
        <v>5.4636334886257805E-4</v>
      </c>
      <c r="AA74" s="44">
        <v>5.4636334886257805E-4</v>
      </c>
      <c r="AB74" s="44">
        <v>1.31694289499348E-2</v>
      </c>
      <c r="AC74" s="44">
        <v>2.5215224206722099E-2</v>
      </c>
      <c r="AD74" s="44">
        <v>4.3509669566632602E-16</v>
      </c>
      <c r="AE74" s="44">
        <v>4.55880778741833E-2</v>
      </c>
      <c r="AF74" s="44">
        <v>1.7557853290491201E-5</v>
      </c>
      <c r="AG74" s="44">
        <v>1.7557853290491201E-5</v>
      </c>
      <c r="AH74" s="44">
        <v>1.6048357062386101E-8</v>
      </c>
      <c r="AI74" s="44">
        <v>1.6048357062386101E-8</v>
      </c>
      <c r="AJ74" s="44">
        <v>1.6048357062386101E-8</v>
      </c>
      <c r="AK74" s="44">
        <v>1.6048357062386101E-8</v>
      </c>
      <c r="AL74" s="44">
        <v>1.6048357062386101E-8</v>
      </c>
      <c r="AM74" s="44">
        <v>1.6048357062386101E-8</v>
      </c>
      <c r="AN74" s="44">
        <v>1.6048357062386101E-8</v>
      </c>
      <c r="AO74" s="44">
        <v>2.2163368458157399E-4</v>
      </c>
      <c r="AP74" s="44">
        <v>2.2163368458157399E-4</v>
      </c>
      <c r="AQ74" s="44">
        <v>2.2163368458157399E-4</v>
      </c>
      <c r="AR74">
        <v>2.2163368458157399E-4</v>
      </c>
      <c r="AS74">
        <v>2.2163368458157399E-4</v>
      </c>
      <c r="AT74">
        <v>2.2163368458157399E-4</v>
      </c>
      <c r="AU74">
        <v>2.2163368458157399E-4</v>
      </c>
      <c r="AV74" s="44">
        <v>6.1938017403978703E-9</v>
      </c>
      <c r="AW74" s="44">
        <v>6.1938017403978703E-9</v>
      </c>
      <c r="AX74" s="44">
        <v>6.1938017403978703E-9</v>
      </c>
      <c r="AY74" s="44">
        <v>0</v>
      </c>
      <c r="AZ74" s="44">
        <v>0</v>
      </c>
      <c r="BA74" s="44">
        <v>0</v>
      </c>
      <c r="BB74" s="44">
        <v>0</v>
      </c>
      <c r="BC74">
        <v>0</v>
      </c>
      <c r="BD74" s="62">
        <v>0</v>
      </c>
    </row>
    <row r="75" spans="2:56">
      <c r="B75" s="61" t="s">
        <v>134</v>
      </c>
      <c r="D75">
        <v>0</v>
      </c>
      <c r="E75">
        <v>0</v>
      </c>
      <c r="F75">
        <v>1.5248469603628501E-3</v>
      </c>
      <c r="G75">
        <v>1.5248469603628501E-3</v>
      </c>
      <c r="H75">
        <v>1.5248469603628501E-3</v>
      </c>
      <c r="I75">
        <v>1.5248469603628501E-3</v>
      </c>
      <c r="J75">
        <v>1.08518848035232E-2</v>
      </c>
      <c r="K75">
        <v>1.08518848035232E-2</v>
      </c>
      <c r="L75">
        <v>1.08518848035232E-2</v>
      </c>
      <c r="M75">
        <v>1.08518848035232E-2</v>
      </c>
      <c r="N75">
        <v>1.08518848035232E-2</v>
      </c>
      <c r="O75">
        <v>2.41398427255326E-3</v>
      </c>
      <c r="P75">
        <v>1.08527989606465E-2</v>
      </c>
      <c r="Q75">
        <v>1.08527989606465E-2</v>
      </c>
      <c r="R75">
        <v>1.08527989606465E-2</v>
      </c>
      <c r="S75">
        <v>4.9743485365696897E-3</v>
      </c>
      <c r="T75">
        <v>1.0853078944825E-2</v>
      </c>
      <c r="U75">
        <v>1.0853078944825E-2</v>
      </c>
      <c r="V75">
        <v>1.7343847429914998E-2</v>
      </c>
      <c r="W75" s="44">
        <v>2.5746367511804399E-6</v>
      </c>
      <c r="X75">
        <v>0.14849850297106201</v>
      </c>
      <c r="Y75" s="44">
        <v>1.08599116872631E-2</v>
      </c>
      <c r="Z75">
        <v>1.08599116872631E-2</v>
      </c>
      <c r="AA75" s="44">
        <v>1.08599116872631E-2</v>
      </c>
      <c r="AB75" s="44">
        <v>0.23333181872495901</v>
      </c>
      <c r="AC75" s="44">
        <v>0.44671101126260598</v>
      </c>
      <c r="AD75" s="44">
        <v>0.99860001337212201</v>
      </c>
      <c r="AE75" s="44">
        <v>8.0762414693266596E-4</v>
      </c>
      <c r="AF75" s="44">
        <v>1.5401180040279601E-3</v>
      </c>
      <c r="AG75">
        <v>1.5401180040279601E-3</v>
      </c>
      <c r="AH75" s="44">
        <v>8.6457570398917097E-6</v>
      </c>
      <c r="AI75" s="44">
        <v>8.6457570398917097E-6</v>
      </c>
      <c r="AJ75" s="44">
        <v>8.6457570398917097E-6</v>
      </c>
      <c r="AK75" s="44">
        <v>8.6457570398917097E-6</v>
      </c>
      <c r="AL75" s="44">
        <v>8.6457570398917097E-6</v>
      </c>
      <c r="AM75" s="44">
        <v>8.6457570398917097E-6</v>
      </c>
      <c r="AN75" s="44">
        <v>8.6457570398917097E-6</v>
      </c>
      <c r="AO75" s="44">
        <v>1.9356783957609799E-2</v>
      </c>
      <c r="AP75" s="44">
        <v>1.9356783957609799E-2</v>
      </c>
      <c r="AQ75" s="44">
        <v>1.9356783957609799E-2</v>
      </c>
      <c r="AR75">
        <v>1.9356783957609799E-2</v>
      </c>
      <c r="AS75">
        <v>1.9356783957609799E-2</v>
      </c>
      <c r="AT75">
        <v>1.9356783957609799E-2</v>
      </c>
      <c r="AU75">
        <v>1.9356783957609799E-2</v>
      </c>
      <c r="AV75" s="44">
        <v>4.8690962412207399E-5</v>
      </c>
      <c r="AW75" s="44">
        <v>4.8690962412207399E-5</v>
      </c>
      <c r="AX75" s="44">
        <v>4.8690962412207399E-5</v>
      </c>
      <c r="AY75" s="44">
        <v>0</v>
      </c>
      <c r="AZ75" s="44">
        <v>0</v>
      </c>
      <c r="BA75" s="44">
        <v>0</v>
      </c>
      <c r="BB75" s="44">
        <v>0</v>
      </c>
      <c r="BC75">
        <v>0</v>
      </c>
      <c r="BD75" s="62">
        <v>0</v>
      </c>
    </row>
    <row r="76" spans="2:56">
      <c r="B76" s="61" t="s">
        <v>135</v>
      </c>
      <c r="D76">
        <v>0</v>
      </c>
      <c r="E76">
        <v>0</v>
      </c>
      <c r="F76">
        <v>3.0016436238437002E-4</v>
      </c>
      <c r="G76">
        <v>3.0016436238437002E-4</v>
      </c>
      <c r="H76">
        <v>3.0016436238437002E-4</v>
      </c>
      <c r="I76">
        <v>3.0016436238437002E-4</v>
      </c>
      <c r="J76">
        <v>1.1340092540417301E-2</v>
      </c>
      <c r="K76">
        <v>1.1340092540417301E-2</v>
      </c>
      <c r="L76">
        <v>1.1340092540417301E-2</v>
      </c>
      <c r="M76">
        <v>1.1340092540417301E-2</v>
      </c>
      <c r="N76">
        <v>1.1340092540417301E-2</v>
      </c>
      <c r="O76">
        <v>4.22074538220003E-3</v>
      </c>
      <c r="P76">
        <v>1.1341095459230101E-2</v>
      </c>
      <c r="Q76">
        <v>1.1341095459230101E-2</v>
      </c>
      <c r="R76">
        <v>1.1341095459230101E-2</v>
      </c>
      <c r="S76">
        <v>1.00146865347407E-2</v>
      </c>
      <c r="T76">
        <v>1.1341158634639701E-2</v>
      </c>
      <c r="U76">
        <v>1.1341158634639701E-2</v>
      </c>
      <c r="V76">
        <v>7.2218227695316106E-2</v>
      </c>
      <c r="W76" s="44">
        <v>3.1809353654008998E-5</v>
      </c>
      <c r="X76">
        <v>0.61817050063192402</v>
      </c>
      <c r="Y76" s="44">
        <v>1.13482832849687E-2</v>
      </c>
      <c r="Z76">
        <v>1.13482832849687E-2</v>
      </c>
      <c r="AA76" s="44">
        <v>1.13482832849687E-2</v>
      </c>
      <c r="AB76" s="44">
        <v>0.27500320046278498</v>
      </c>
      <c r="AC76" s="44">
        <v>0.52654261272096303</v>
      </c>
      <c r="AD76" s="44">
        <v>1.2011612386860599E-3</v>
      </c>
      <c r="AE76" s="44">
        <v>0.95099668176893903</v>
      </c>
      <c r="AF76" s="44">
        <v>3.03250838461418E-4</v>
      </c>
      <c r="AG76">
        <v>3.03250838461418E-4</v>
      </c>
      <c r="AH76" s="44">
        <v>1.85446858038415E-7</v>
      </c>
      <c r="AI76" s="44">
        <v>1.85446858038415E-7</v>
      </c>
      <c r="AJ76" s="44">
        <v>1.85446858038415E-7</v>
      </c>
      <c r="AK76" s="44">
        <v>1.85446858038415E-7</v>
      </c>
      <c r="AL76" s="44">
        <v>1.85446858038415E-7</v>
      </c>
      <c r="AM76" s="44">
        <v>1.85446858038415E-7</v>
      </c>
      <c r="AN76" s="44">
        <v>1.85446858038415E-7</v>
      </c>
      <c r="AO76" s="44">
        <v>3.8290181140610701E-3</v>
      </c>
      <c r="AP76" s="44">
        <v>3.8290181140610701E-3</v>
      </c>
      <c r="AQ76" s="44">
        <v>3.8290181140610701E-3</v>
      </c>
      <c r="AR76">
        <v>3.8290181140610701E-3</v>
      </c>
      <c r="AS76">
        <v>3.8290181140610701E-3</v>
      </c>
      <c r="AT76">
        <v>3.8290181140610701E-3</v>
      </c>
      <c r="AU76">
        <v>3.8290181140610701E-3</v>
      </c>
      <c r="AV76" s="44">
        <v>2.81249905258268E-7</v>
      </c>
      <c r="AW76" s="44">
        <v>2.81249905258268E-7</v>
      </c>
      <c r="AX76" s="44">
        <v>2.81249905258268E-7</v>
      </c>
      <c r="AY76" s="44">
        <v>0</v>
      </c>
      <c r="AZ76" s="44">
        <v>0</v>
      </c>
      <c r="BA76" s="44">
        <v>0</v>
      </c>
      <c r="BB76" s="44">
        <v>0</v>
      </c>
      <c r="BC76">
        <v>0</v>
      </c>
      <c r="BD76" s="62">
        <v>0</v>
      </c>
    </row>
    <row r="77" spans="2:56">
      <c r="B77" s="61" t="s">
        <v>165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 s="62">
        <v>0</v>
      </c>
    </row>
    <row r="78" spans="2:56">
      <c r="B78" s="61" t="s">
        <v>136</v>
      </c>
      <c r="D78">
        <v>0</v>
      </c>
      <c r="E78">
        <v>0</v>
      </c>
      <c r="F78" s="44">
        <v>1.6217986875306001E-12</v>
      </c>
      <c r="G78" s="44">
        <v>1.6217986875306001E-12</v>
      </c>
      <c r="H78" s="44">
        <v>1.6217986875306001E-12</v>
      </c>
      <c r="I78" s="44">
        <v>1.6217986875306001E-12</v>
      </c>
      <c r="J78">
        <v>6.6534291769818304E-4</v>
      </c>
      <c r="K78">
        <v>6.6534291769818304E-4</v>
      </c>
      <c r="L78">
        <v>6.6534291769818304E-4</v>
      </c>
      <c r="M78">
        <v>6.6534291769818304E-4</v>
      </c>
      <c r="N78">
        <v>6.6534291769818304E-4</v>
      </c>
      <c r="O78">
        <v>6.4111801732517806E-2</v>
      </c>
      <c r="P78">
        <v>6.6819614378396696E-4</v>
      </c>
      <c r="Q78">
        <v>6.6819614378396696E-4</v>
      </c>
      <c r="R78">
        <v>6.6819614378396696E-4</v>
      </c>
      <c r="S78">
        <v>0.26262913581028002</v>
      </c>
      <c r="T78">
        <v>6.5571923010436896E-4</v>
      </c>
      <c r="U78">
        <v>6.5571923010436896E-4</v>
      </c>
      <c r="V78">
        <v>0.87800464750239804</v>
      </c>
      <c r="W78" s="44">
        <v>0.99399585229074505</v>
      </c>
      <c r="X78" s="44">
        <v>7.5183981150537204E-4</v>
      </c>
      <c r="Y78" s="44">
        <v>3.0287763897222699E-5</v>
      </c>
      <c r="Z78" s="44">
        <v>3.0287763897222699E-5</v>
      </c>
      <c r="AA78" s="44">
        <v>3.0287763897222699E-5</v>
      </c>
      <c r="AB78" s="44">
        <v>7.5328405100791795E-4</v>
      </c>
      <c r="AC78" s="44">
        <v>1.4422972003822099E-3</v>
      </c>
      <c r="AD78" s="44">
        <v>2.42258785686542E-242</v>
      </c>
      <c r="AE78" s="44">
        <v>2.60761342233921E-3</v>
      </c>
      <c r="AF78" s="44">
        <v>1.6384355288418299E-12</v>
      </c>
      <c r="AG78" s="44">
        <v>1.6384355288418299E-12</v>
      </c>
      <c r="AH78" s="44">
        <v>3.8290607423090302E-22</v>
      </c>
      <c r="AI78" s="44">
        <v>3.8290607423090302E-22</v>
      </c>
      <c r="AJ78" s="44">
        <v>3.8290607423090302E-22</v>
      </c>
      <c r="AK78" s="44">
        <v>3.8290607423090302E-22</v>
      </c>
      <c r="AL78" s="44">
        <v>3.8290607423090302E-22</v>
      </c>
      <c r="AM78" s="44">
        <v>3.8290607423090302E-22</v>
      </c>
      <c r="AN78" s="44">
        <v>3.8290607423090302E-22</v>
      </c>
      <c r="AO78" s="44">
        <v>2.06994782383678E-11</v>
      </c>
      <c r="AP78" s="44">
        <v>2.06994782383678E-11</v>
      </c>
      <c r="AQ78" s="44">
        <v>2.06994782383678E-11</v>
      </c>
      <c r="AR78" s="44">
        <v>2.06994782383678E-11</v>
      </c>
      <c r="AS78" s="44">
        <v>2.06994782383678E-11</v>
      </c>
      <c r="AT78" s="44">
        <v>2.06994782383678E-11</v>
      </c>
      <c r="AU78" s="44">
        <v>2.06994782383678E-11</v>
      </c>
      <c r="AV78" s="44">
        <v>5.6869159216340498E-30</v>
      </c>
      <c r="AW78" s="44">
        <v>5.6869159216340498E-30</v>
      </c>
      <c r="AX78" s="44">
        <v>5.6869159216340498E-30</v>
      </c>
      <c r="AY78" s="44">
        <v>0</v>
      </c>
      <c r="AZ78" s="44">
        <v>0</v>
      </c>
      <c r="BA78" s="44">
        <v>0</v>
      </c>
      <c r="BB78" s="44">
        <v>0</v>
      </c>
      <c r="BC78">
        <v>0</v>
      </c>
      <c r="BD78" s="62">
        <v>0</v>
      </c>
    </row>
    <row r="79" spans="2:56">
      <c r="B79" s="61" t="s">
        <v>137</v>
      </c>
      <c r="D79">
        <v>0</v>
      </c>
      <c r="E79">
        <v>0</v>
      </c>
      <c r="F79" s="44">
        <v>8.1622624610254395E-62</v>
      </c>
      <c r="G79" s="44">
        <v>8.1622624610254395E-62</v>
      </c>
      <c r="H79" s="44">
        <v>8.1622624610254395E-62</v>
      </c>
      <c r="I79" s="44">
        <v>8.1622624610254395E-62</v>
      </c>
      <c r="J79">
        <v>1.4288470804496499E-4</v>
      </c>
      <c r="K79">
        <v>1.4288470804496499E-4</v>
      </c>
      <c r="L79">
        <v>1.4288470804496499E-4</v>
      </c>
      <c r="M79">
        <v>1.4288470804496499E-4</v>
      </c>
      <c r="N79">
        <v>1.4288470804496499E-4</v>
      </c>
      <c r="O79">
        <v>0.91730411708360204</v>
      </c>
      <c r="P79" s="44">
        <v>3.72688848895934E-5</v>
      </c>
      <c r="Q79" s="44">
        <v>3.72688848895934E-5</v>
      </c>
      <c r="R79" s="44">
        <v>3.72688848895934E-5</v>
      </c>
      <c r="S79" s="44">
        <v>0.70366465230034503</v>
      </c>
      <c r="T79" s="44">
        <v>3.7558804827039399E-6</v>
      </c>
      <c r="U79" s="44">
        <v>3.7558804827039399E-6</v>
      </c>
      <c r="V79" s="44">
        <v>5.2719155121574201E-3</v>
      </c>
      <c r="W79" s="44">
        <v>5.96897321887329E-3</v>
      </c>
      <c r="X79" s="44">
        <v>4.1030972559503999E-12</v>
      </c>
      <c r="Y79" s="44">
        <v>3.2378395582777001E-11</v>
      </c>
      <c r="Z79" s="44">
        <v>3.2378395582777001E-11</v>
      </c>
      <c r="AA79" s="44">
        <v>3.2378395582777001E-11</v>
      </c>
      <c r="AB79" s="44">
        <v>8.0527999157827601E-10</v>
      </c>
      <c r="AC79" s="44">
        <v>1.54185273911361E-9</v>
      </c>
      <c r="AD79" s="44">
        <v>0</v>
      </c>
      <c r="AE79" s="44">
        <v>2.7876057006265301E-9</v>
      </c>
      <c r="AF79" s="44">
        <v>3.62648874841742E-25</v>
      </c>
      <c r="AG79" s="44">
        <v>3.62648874841742E-25</v>
      </c>
      <c r="AH79" s="44">
        <v>0</v>
      </c>
      <c r="AI79" s="44">
        <v>0</v>
      </c>
      <c r="AJ79">
        <v>0</v>
      </c>
      <c r="AK79">
        <v>0</v>
      </c>
      <c r="AL79">
        <v>0</v>
      </c>
      <c r="AM79" s="44">
        <v>0</v>
      </c>
      <c r="AN79" s="44">
        <v>0</v>
      </c>
      <c r="AO79" s="44">
        <v>0</v>
      </c>
      <c r="AP79" s="44">
        <v>0</v>
      </c>
      <c r="AQ79" s="44">
        <v>0</v>
      </c>
      <c r="AR79">
        <v>0</v>
      </c>
      <c r="AS79">
        <v>0</v>
      </c>
      <c r="AT79">
        <v>0</v>
      </c>
      <c r="AU79">
        <v>0</v>
      </c>
      <c r="AV79" s="44">
        <v>4.1203973339763598E-60</v>
      </c>
      <c r="AW79" s="44">
        <v>4.1203973339763598E-60</v>
      </c>
      <c r="AX79" s="44">
        <v>4.1203973339763598E-60</v>
      </c>
      <c r="AY79">
        <v>0</v>
      </c>
      <c r="AZ79">
        <v>0</v>
      </c>
      <c r="BA79">
        <v>0</v>
      </c>
      <c r="BB79">
        <v>0</v>
      </c>
      <c r="BC79">
        <v>0</v>
      </c>
      <c r="BD79" s="62">
        <v>0</v>
      </c>
    </row>
    <row r="80" spans="2:56">
      <c r="B80" s="61" t="s">
        <v>91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0.498567784233718</v>
      </c>
      <c r="BB80">
        <v>0.498567784233718</v>
      </c>
      <c r="BC80">
        <v>0</v>
      </c>
      <c r="BD80" s="62">
        <v>0</v>
      </c>
    </row>
    <row r="81" spans="2:56">
      <c r="B81" s="61" t="s">
        <v>166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 s="62">
        <v>0</v>
      </c>
    </row>
    <row r="82" spans="2:56">
      <c r="B82" s="61" t="s">
        <v>167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0.50143221576628205</v>
      </c>
      <c r="BB82">
        <v>0.50143221576628205</v>
      </c>
      <c r="BC82">
        <v>5.7125000000000101E-3</v>
      </c>
      <c r="BD82" s="62">
        <v>5.7125000000000101E-3</v>
      </c>
    </row>
    <row r="83" spans="2:56">
      <c r="B83" s="61" t="s">
        <v>168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0.99428749999999999</v>
      </c>
      <c r="BD83" s="62">
        <v>0.99428749999999999</v>
      </c>
    </row>
    <row r="84" spans="2:56">
      <c r="B84" s="61" t="s">
        <v>118</v>
      </c>
      <c r="C84" t="s">
        <v>119</v>
      </c>
      <c r="D84">
        <v>211552.667568</v>
      </c>
      <c r="E84" s="44">
        <v>2.0158800000000001E-5</v>
      </c>
      <c r="F84">
        <v>1028831.73369842</v>
      </c>
      <c r="G84">
        <v>1028831.73369842</v>
      </c>
      <c r="H84">
        <v>1028831.73369842</v>
      </c>
      <c r="I84">
        <v>1028831.73369842</v>
      </c>
      <c r="J84">
        <v>1012012.4587809</v>
      </c>
      <c r="K84">
        <v>1012012.4587809</v>
      </c>
      <c r="L84">
        <v>1012012.4587809</v>
      </c>
      <c r="M84">
        <v>1012012.4587809</v>
      </c>
      <c r="N84">
        <v>1012012.4587809</v>
      </c>
      <c r="O84">
        <v>4312.9737713518198</v>
      </c>
      <c r="P84">
        <v>1008836.94288819</v>
      </c>
      <c r="Q84">
        <v>1008836.94288819</v>
      </c>
      <c r="R84">
        <v>1008836.94288819</v>
      </c>
      <c r="S84">
        <v>1226.5585432693399</v>
      </c>
      <c r="T84">
        <v>1007610.3843449201</v>
      </c>
      <c r="U84">
        <v>1007610.3843449201</v>
      </c>
      <c r="V84">
        <v>11868.2876072857</v>
      </c>
      <c r="W84">
        <v>11415.9923572681</v>
      </c>
      <c r="X84">
        <v>452.33169968899398</v>
      </c>
      <c r="Y84">
        <v>996194.42843732599</v>
      </c>
      <c r="Z84">
        <v>996194.42843732599</v>
      </c>
      <c r="AA84">
        <v>996194.42843732599</v>
      </c>
      <c r="AB84">
        <v>201138.333702242</v>
      </c>
      <c r="AC84">
        <v>131664.13868242799</v>
      </c>
      <c r="AD84">
        <v>60867.666647693899</v>
      </c>
      <c r="AE84">
        <v>70796.472034733597</v>
      </c>
      <c r="AF84">
        <v>795056.09473508399</v>
      </c>
      <c r="AG84">
        <v>795056.09473508399</v>
      </c>
      <c r="AH84">
        <v>514716.78629360098</v>
      </c>
      <c r="AI84">
        <v>514716.78629360098</v>
      </c>
      <c r="AJ84">
        <v>514716.78629360098</v>
      </c>
      <c r="AK84">
        <v>514716.78629360098</v>
      </c>
      <c r="AL84">
        <v>514716.78629360098</v>
      </c>
      <c r="AM84">
        <v>470921.69892802997</v>
      </c>
      <c r="AN84">
        <v>43795.087365572603</v>
      </c>
      <c r="AO84">
        <v>280381.73142688902</v>
      </c>
      <c r="AP84">
        <v>280381.73142688902</v>
      </c>
      <c r="AQ84">
        <v>280381.73142688902</v>
      </c>
      <c r="AR84">
        <v>280381.73142688902</v>
      </c>
      <c r="AS84">
        <v>280381.73142688902</v>
      </c>
      <c r="AT84">
        <v>277577.91411262</v>
      </c>
      <c r="AU84">
        <v>2803.8173142688902</v>
      </c>
      <c r="AV84">
        <v>69474.195019814302</v>
      </c>
      <c r="AW84">
        <v>68779.4530696164</v>
      </c>
      <c r="AX84">
        <v>694.74195019814397</v>
      </c>
      <c r="AY84">
        <v>16719.342027499999</v>
      </c>
      <c r="AZ84">
        <v>44798.32</v>
      </c>
      <c r="BA84">
        <v>61517.662027500199</v>
      </c>
      <c r="BB84">
        <v>61517.662027500199</v>
      </c>
      <c r="BC84">
        <v>61517.662027500199</v>
      </c>
      <c r="BD84" s="62">
        <v>61517.662027500199</v>
      </c>
    </row>
    <row r="85" spans="2:56">
      <c r="B85" s="61" t="s">
        <v>132</v>
      </c>
      <c r="C85" t="s">
        <v>119</v>
      </c>
      <c r="D85">
        <v>0</v>
      </c>
      <c r="E85" s="44">
        <v>2.0158800000000001E-5</v>
      </c>
      <c r="F85">
        <v>364610.22019186302</v>
      </c>
      <c r="G85">
        <v>364610.22019186302</v>
      </c>
      <c r="H85">
        <v>364610.22019186302</v>
      </c>
      <c r="I85">
        <v>364610.22019186302</v>
      </c>
      <c r="J85">
        <v>398426.25792997202</v>
      </c>
      <c r="K85">
        <v>398426.25792997202</v>
      </c>
      <c r="L85">
        <v>398426.25792997202</v>
      </c>
      <c r="M85">
        <v>398426.25792997202</v>
      </c>
      <c r="N85">
        <v>398426.25792997202</v>
      </c>
      <c r="O85">
        <v>0.423259636634224</v>
      </c>
      <c r="P85">
        <v>398391.07681772002</v>
      </c>
      <c r="Q85">
        <v>398391.07681771897</v>
      </c>
      <c r="R85">
        <v>398391.07681771897</v>
      </c>
      <c r="S85">
        <v>0.18074049769587</v>
      </c>
      <c r="T85">
        <v>398390.89607722202</v>
      </c>
      <c r="U85">
        <v>398390.89607722202</v>
      </c>
      <c r="V85">
        <v>2.0635361185662302</v>
      </c>
      <c r="W85" s="44">
        <v>1.15783125066375E-7</v>
      </c>
      <c r="X85">
        <v>2.06369947672811</v>
      </c>
      <c r="Y85" s="44">
        <v>398390.89624058001</v>
      </c>
      <c r="Z85" s="44">
        <v>398390.89624058001</v>
      </c>
      <c r="AA85">
        <v>398390.89624058001</v>
      </c>
      <c r="AB85">
        <v>256.35000485940799</v>
      </c>
      <c r="AC85" s="44">
        <v>2.1245063170852801E-9</v>
      </c>
      <c r="AD85" s="44">
        <v>2.1245063170851999E-9</v>
      </c>
      <c r="AE85" s="44">
        <v>4.3749577948269799E-39</v>
      </c>
      <c r="AF85" s="44">
        <v>398134.54623572098</v>
      </c>
      <c r="AG85" s="44">
        <v>398134.54623572098</v>
      </c>
      <c r="AH85">
        <v>397268.06828999502</v>
      </c>
      <c r="AI85">
        <v>397268.06828999502</v>
      </c>
      <c r="AJ85">
        <v>397268.06828999502</v>
      </c>
      <c r="AK85">
        <v>397268.06828999502</v>
      </c>
      <c r="AL85">
        <v>397268.06828999502</v>
      </c>
      <c r="AM85">
        <v>363466.19855966198</v>
      </c>
      <c r="AN85">
        <v>33801.869730334198</v>
      </c>
      <c r="AO85">
        <v>899.22738104521602</v>
      </c>
      <c r="AP85">
        <v>899.22738104521602</v>
      </c>
      <c r="AQ85">
        <v>899.22738104521602</v>
      </c>
      <c r="AR85">
        <v>899.22738104521602</v>
      </c>
      <c r="AS85">
        <v>899.22738104521602</v>
      </c>
      <c r="AT85">
        <v>890.23510723476295</v>
      </c>
      <c r="AU85">
        <v>8.9922738104521596</v>
      </c>
      <c r="AV85">
        <v>256.35000485728199</v>
      </c>
      <c r="AW85">
        <v>253.78650480870999</v>
      </c>
      <c r="AX85">
        <v>2.5635000485728199</v>
      </c>
      <c r="AY85">
        <v>0</v>
      </c>
      <c r="AZ85">
        <v>0</v>
      </c>
      <c r="BA85">
        <v>0</v>
      </c>
      <c r="BB85">
        <v>0</v>
      </c>
      <c r="BC85">
        <v>0</v>
      </c>
      <c r="BD85" s="62">
        <v>0</v>
      </c>
    </row>
    <row r="86" spans="2:56">
      <c r="B86" s="61" t="s">
        <v>131</v>
      </c>
      <c r="C86" t="s">
        <v>119</v>
      </c>
      <c r="D86">
        <v>211552.667568</v>
      </c>
      <c r="E86">
        <v>0</v>
      </c>
      <c r="F86">
        <v>652875.11696004798</v>
      </c>
      <c r="G86">
        <v>652875.11696004798</v>
      </c>
      <c r="H86">
        <v>652875.11696004798</v>
      </c>
      <c r="I86">
        <v>652875.11696004798</v>
      </c>
      <c r="J86">
        <v>454724.59638074</v>
      </c>
      <c r="K86">
        <v>454724.59638074</v>
      </c>
      <c r="L86">
        <v>454724.59638074</v>
      </c>
      <c r="M86">
        <v>454724.59638074</v>
      </c>
      <c r="N86">
        <v>454724.59638074</v>
      </c>
      <c r="O86">
        <v>3.2586722828767098</v>
      </c>
      <c r="P86">
        <v>454683.26948327897</v>
      </c>
      <c r="Q86">
        <v>454683.26948327897</v>
      </c>
      <c r="R86">
        <v>454683.26948327897</v>
      </c>
      <c r="S86">
        <v>1.80254867817968</v>
      </c>
      <c r="T86">
        <v>454681.46693459997</v>
      </c>
      <c r="U86">
        <v>454681.46693459997</v>
      </c>
      <c r="V86">
        <v>51.231839587394198</v>
      </c>
      <c r="W86">
        <v>1.20189448836764E-4</v>
      </c>
      <c r="X86">
        <v>51.235775424219497</v>
      </c>
      <c r="Y86">
        <v>454681.47087043797</v>
      </c>
      <c r="Z86">
        <v>454681.47087043797</v>
      </c>
      <c r="AA86">
        <v>454681.47087043797</v>
      </c>
      <c r="AB86">
        <v>69218.666441139605</v>
      </c>
      <c r="AC86">
        <v>6.9218305596728902</v>
      </c>
      <c r="AD86">
        <v>6.9218305596724301</v>
      </c>
      <c r="AE86" s="44">
        <v>1.81203311657611E-13</v>
      </c>
      <c r="AF86" s="44">
        <v>385462.80442929902</v>
      </c>
      <c r="AG86">
        <v>385462.80442929902</v>
      </c>
      <c r="AH86">
        <v>117398.058733834</v>
      </c>
      <c r="AI86">
        <v>117398.058733834</v>
      </c>
      <c r="AJ86">
        <v>117398.058733834</v>
      </c>
      <c r="AK86">
        <v>117398.058733834</v>
      </c>
      <c r="AL86">
        <v>117398.058733834</v>
      </c>
      <c r="AM86">
        <v>107409.15148287801</v>
      </c>
      <c r="AN86">
        <v>9988.9072509559301</v>
      </c>
      <c r="AO86">
        <v>268074.414893632</v>
      </c>
      <c r="AP86">
        <v>268074.414893632</v>
      </c>
      <c r="AQ86">
        <v>268074.414893632</v>
      </c>
      <c r="AR86">
        <v>268074.414893632</v>
      </c>
      <c r="AS86">
        <v>268074.414893632</v>
      </c>
      <c r="AT86">
        <v>265393.670744695</v>
      </c>
      <c r="AU86">
        <v>2680.74414893632</v>
      </c>
      <c r="AV86">
        <v>69211.744610579903</v>
      </c>
      <c r="AW86">
        <v>68519.627164474296</v>
      </c>
      <c r="AX86">
        <v>692.11744610579899</v>
      </c>
      <c r="AY86">
        <v>0</v>
      </c>
      <c r="AZ86">
        <v>0</v>
      </c>
      <c r="BA86">
        <v>0</v>
      </c>
      <c r="BB86">
        <v>0</v>
      </c>
      <c r="BC86">
        <v>0</v>
      </c>
      <c r="BD86" s="62">
        <v>0</v>
      </c>
    </row>
    <row r="87" spans="2:56">
      <c r="B87" s="61" t="s">
        <v>133</v>
      </c>
      <c r="C87" t="s">
        <v>119</v>
      </c>
      <c r="D87">
        <v>0</v>
      </c>
      <c r="E87">
        <v>0</v>
      </c>
      <c r="F87">
        <v>115.996404618079</v>
      </c>
      <c r="G87">
        <v>115.996404618079</v>
      </c>
      <c r="H87">
        <v>115.996404618079</v>
      </c>
      <c r="I87">
        <v>115.996404618079</v>
      </c>
      <c r="J87">
        <v>3799.5111434147002</v>
      </c>
      <c r="K87">
        <v>3799.5111434147002</v>
      </c>
      <c r="L87">
        <v>3799.5111434147002</v>
      </c>
      <c r="M87">
        <v>3799.5111434147002</v>
      </c>
      <c r="N87">
        <v>3799.5111434147002</v>
      </c>
      <c r="O87">
        <v>0.191187734227102</v>
      </c>
      <c r="P87">
        <v>3799.1088471066901</v>
      </c>
      <c r="Q87">
        <v>3799.1088471066901</v>
      </c>
      <c r="R87">
        <v>3799.1088471066901</v>
      </c>
      <c r="S87">
        <v>0.12795038340911399</v>
      </c>
      <c r="T87">
        <v>3798.9808967232698</v>
      </c>
      <c r="U87">
        <v>3798.9808967232698</v>
      </c>
      <c r="V87">
        <v>7.8258907813210001</v>
      </c>
      <c r="W87">
        <v>3.2337357518771098E-3</v>
      </c>
      <c r="X87">
        <v>7.8232852260179797</v>
      </c>
      <c r="Y87">
        <v>3798.9782911679699</v>
      </c>
      <c r="Z87">
        <v>3798.9782911679699</v>
      </c>
      <c r="AA87">
        <v>3798.9782911679699</v>
      </c>
      <c r="AB87">
        <v>3681.80356023276</v>
      </c>
      <c r="AC87">
        <v>3681.8027330076302</v>
      </c>
      <c r="AD87" s="44">
        <v>2.83912197380485E-11</v>
      </c>
      <c r="AE87">
        <v>3681.8027330077098</v>
      </c>
      <c r="AF87">
        <v>117.17473093518601</v>
      </c>
      <c r="AG87" s="44">
        <v>117.17473093518601</v>
      </c>
      <c r="AH87">
        <v>9.8631624369449597E-2</v>
      </c>
      <c r="AI87">
        <v>9.8631624369449597E-2</v>
      </c>
      <c r="AJ87">
        <v>9.8631624369449597E-2</v>
      </c>
      <c r="AK87">
        <v>9.8631624369449597E-2</v>
      </c>
      <c r="AL87">
        <v>9.8631624369449597E-2</v>
      </c>
      <c r="AM87">
        <v>9.0239474120430305E-2</v>
      </c>
      <c r="AN87">
        <v>8.3921502490195508E-3</v>
      </c>
      <c r="AO87" s="44">
        <v>117.07610726371701</v>
      </c>
      <c r="AP87">
        <v>117.07610726371701</v>
      </c>
      <c r="AQ87" s="44">
        <v>117.07610726371701</v>
      </c>
      <c r="AR87">
        <v>117.07610726371701</v>
      </c>
      <c r="AS87">
        <v>117.07610726371701</v>
      </c>
      <c r="AT87">
        <v>115.90534619108</v>
      </c>
      <c r="AU87">
        <v>1.17076107263717</v>
      </c>
      <c r="AV87">
        <v>8.2722512996638196E-4</v>
      </c>
      <c r="AW87">
        <v>8.1895287866671997E-4</v>
      </c>
      <c r="AX87" s="44">
        <v>8.2722512996638206E-6</v>
      </c>
      <c r="AY87">
        <v>0</v>
      </c>
      <c r="AZ87">
        <v>0</v>
      </c>
      <c r="BA87">
        <v>0</v>
      </c>
      <c r="BB87">
        <v>0</v>
      </c>
      <c r="BC87">
        <v>0</v>
      </c>
      <c r="BD87" s="62">
        <v>0</v>
      </c>
    </row>
    <row r="88" spans="2:56">
      <c r="B88" s="61" t="s">
        <v>134</v>
      </c>
      <c r="C88" t="s">
        <v>119</v>
      </c>
      <c r="D88">
        <v>0</v>
      </c>
      <c r="E88">
        <v>0</v>
      </c>
      <c r="F88">
        <v>9495.5311530729705</v>
      </c>
      <c r="G88">
        <v>9495.5311530729705</v>
      </c>
      <c r="H88">
        <v>9495.5311530729705</v>
      </c>
      <c r="I88">
        <v>9495.5311530729705</v>
      </c>
      <c r="J88">
        <v>70458.052584198405</v>
      </c>
      <c r="K88">
        <v>70458.052584198405</v>
      </c>
      <c r="L88">
        <v>70458.052584198405</v>
      </c>
      <c r="M88">
        <v>70458.052584198405</v>
      </c>
      <c r="N88">
        <v>70458.052584198405</v>
      </c>
      <c r="O88">
        <v>2.3771481408673898</v>
      </c>
      <c r="P88">
        <v>70450.470572388294</v>
      </c>
      <c r="Q88">
        <v>70450.470572388294</v>
      </c>
      <c r="R88">
        <v>70450.470572388294</v>
      </c>
      <c r="S88">
        <v>1.5379007126894899</v>
      </c>
      <c r="T88">
        <v>70448.932671675604</v>
      </c>
      <c r="U88">
        <v>70448.932671675604</v>
      </c>
      <c r="V88">
        <v>80.205930383259997</v>
      </c>
      <c r="W88">
        <v>1.0515884609507999E-2</v>
      </c>
      <c r="X88">
        <v>80.202353731661404</v>
      </c>
      <c r="Y88">
        <v>70448.929095024097</v>
      </c>
      <c r="Z88">
        <v>70448.929095024097</v>
      </c>
      <c r="AA88">
        <v>70448.929095024097</v>
      </c>
      <c r="AB88">
        <v>60859.794919448999</v>
      </c>
      <c r="AC88">
        <v>60853.7278687117</v>
      </c>
      <c r="AD88">
        <v>60792.874954912302</v>
      </c>
      <c r="AE88">
        <v>60.852913797074102</v>
      </c>
      <c r="AF88">
        <v>9589.1341755746798</v>
      </c>
      <c r="AG88">
        <v>9589.1341755746798</v>
      </c>
      <c r="AH88">
        <v>49.573716945015398</v>
      </c>
      <c r="AI88">
        <v>49.573716945015398</v>
      </c>
      <c r="AJ88">
        <v>49.573716945015398</v>
      </c>
      <c r="AK88">
        <v>49.573716945015398</v>
      </c>
      <c r="AL88">
        <v>49.573716945015398</v>
      </c>
      <c r="AM88">
        <v>45.355697788739697</v>
      </c>
      <c r="AN88">
        <v>4.2180191562757798</v>
      </c>
      <c r="AO88">
        <v>9539.5647222771804</v>
      </c>
      <c r="AP88">
        <v>9539.5647222771804</v>
      </c>
      <c r="AQ88">
        <v>9539.5647222771804</v>
      </c>
      <c r="AR88">
        <v>9539.5647222771804</v>
      </c>
      <c r="AS88">
        <v>9539.5647222771804</v>
      </c>
      <c r="AT88">
        <v>9444.1690750544003</v>
      </c>
      <c r="AU88">
        <v>95.3956472227718</v>
      </c>
      <c r="AV88">
        <v>6.0670507371924698</v>
      </c>
      <c r="AW88">
        <v>6.00638022982056</v>
      </c>
      <c r="AX88">
        <v>6.0670507371924802E-2</v>
      </c>
      <c r="AY88">
        <v>0</v>
      </c>
      <c r="AZ88">
        <v>0</v>
      </c>
      <c r="BA88">
        <v>0</v>
      </c>
      <c r="BB88">
        <v>0</v>
      </c>
      <c r="BC88">
        <v>0</v>
      </c>
      <c r="BD88" s="62">
        <v>0</v>
      </c>
    </row>
    <row r="89" spans="2:56">
      <c r="B89" s="61" t="s">
        <v>135</v>
      </c>
      <c r="C89" t="s">
        <v>119</v>
      </c>
      <c r="D89">
        <v>0</v>
      </c>
      <c r="E89">
        <v>0</v>
      </c>
      <c r="F89">
        <v>1734.86896070136</v>
      </c>
      <c r="G89">
        <v>1734.86896070136</v>
      </c>
      <c r="H89">
        <v>1734.86896070136</v>
      </c>
      <c r="I89">
        <v>1734.86896070136</v>
      </c>
      <c r="J89">
        <v>68337.109143462207</v>
      </c>
      <c r="K89">
        <v>68337.109143462207</v>
      </c>
      <c r="L89">
        <v>68337.109143462207</v>
      </c>
      <c r="M89">
        <v>68337.109143462207</v>
      </c>
      <c r="N89">
        <v>68337.109143462207</v>
      </c>
      <c r="O89">
        <v>3.8576738654275502</v>
      </c>
      <c r="P89">
        <v>68330.042369586401</v>
      </c>
      <c r="Q89">
        <v>68330.042369586401</v>
      </c>
      <c r="R89">
        <v>68330.042369586401</v>
      </c>
      <c r="S89">
        <v>2.8737169569751799</v>
      </c>
      <c r="T89">
        <v>68327.168652629305</v>
      </c>
      <c r="U89">
        <v>68327.168652629305</v>
      </c>
      <c r="V89">
        <v>309.97195797109902</v>
      </c>
      <c r="W89">
        <v>0.12058665165566899</v>
      </c>
      <c r="X89">
        <v>309.87594110855702</v>
      </c>
      <c r="Y89">
        <v>68327.072635766905</v>
      </c>
      <c r="Z89">
        <v>68327.072635766905</v>
      </c>
      <c r="AA89">
        <v>68327.072635766905</v>
      </c>
      <c r="AB89">
        <v>66574.637500616998</v>
      </c>
      <c r="AC89">
        <v>66574.604974202201</v>
      </c>
      <c r="AD89">
        <v>67.869862219791401</v>
      </c>
      <c r="AE89">
        <v>66506.735111984206</v>
      </c>
      <c r="AF89">
        <v>1752.4351351493699</v>
      </c>
      <c r="AG89">
        <v>1752.4351351493699</v>
      </c>
      <c r="AH89">
        <v>0.98692120252436</v>
      </c>
      <c r="AI89">
        <v>0.98692120252436</v>
      </c>
      <c r="AJ89">
        <v>0.98692120252436</v>
      </c>
      <c r="AK89">
        <v>0.98692120252436</v>
      </c>
      <c r="AL89">
        <v>0.98692120252436</v>
      </c>
      <c r="AM89">
        <v>0.90294822663071095</v>
      </c>
      <c r="AN89">
        <v>8.3972975893651505E-2</v>
      </c>
      <c r="AO89">
        <v>1751.4482942667</v>
      </c>
      <c r="AP89">
        <v>1751.4482942667</v>
      </c>
      <c r="AQ89">
        <v>1751.4482942667</v>
      </c>
      <c r="AR89">
        <v>1751.4482942667</v>
      </c>
      <c r="AS89">
        <v>1751.4482942667</v>
      </c>
      <c r="AT89">
        <v>1733.9338113240301</v>
      </c>
      <c r="AU89">
        <v>17.514482942667001</v>
      </c>
      <c r="AV89">
        <v>3.2526414847736398E-2</v>
      </c>
      <c r="AW89">
        <v>3.2201150699259197E-2</v>
      </c>
      <c r="AX89">
        <v>3.25264148477364E-4</v>
      </c>
      <c r="AY89">
        <v>0</v>
      </c>
      <c r="AZ89">
        <v>0</v>
      </c>
      <c r="BA89">
        <v>0</v>
      </c>
      <c r="BB89">
        <v>0</v>
      </c>
      <c r="BC89">
        <v>0</v>
      </c>
      <c r="BD89" s="62">
        <v>0</v>
      </c>
    </row>
    <row r="90" spans="2:56">
      <c r="B90" s="61" t="s">
        <v>165</v>
      </c>
      <c r="C90" t="s">
        <v>119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 s="62">
        <v>0</v>
      </c>
    </row>
    <row r="91" spans="2:56">
      <c r="B91" s="61" t="s">
        <v>136</v>
      </c>
      <c r="C91" t="s">
        <v>119</v>
      </c>
      <c r="D91">
        <v>0</v>
      </c>
      <c r="E91">
        <v>0</v>
      </c>
      <c r="F91" s="44">
        <v>2.8120675430817401E-5</v>
      </c>
      <c r="G91" s="44">
        <v>2.8120675430817401E-5</v>
      </c>
      <c r="H91" s="44">
        <v>2.8120675430817401E-5</v>
      </c>
      <c r="I91" s="44">
        <v>2.8120675430817401E-5</v>
      </c>
      <c r="J91">
        <v>12028.3705152808</v>
      </c>
      <c r="K91">
        <v>12028.3705152808</v>
      </c>
      <c r="L91">
        <v>12028.3705152808</v>
      </c>
      <c r="M91">
        <v>12028.3705152808</v>
      </c>
      <c r="N91">
        <v>12028.3705152808</v>
      </c>
      <c r="O91">
        <v>175.79057698104401</v>
      </c>
      <c r="P91">
        <v>12077.6350873918</v>
      </c>
      <c r="Q91">
        <v>12077.6350873918</v>
      </c>
      <c r="R91">
        <v>12077.6350873918</v>
      </c>
      <c r="S91">
        <v>226.08450050502</v>
      </c>
      <c r="T91">
        <v>11851.5505868868</v>
      </c>
      <c r="U91">
        <v>11851.5505868868</v>
      </c>
      <c r="V91">
        <v>11305.600886894699</v>
      </c>
      <c r="W91">
        <v>11304.4703351516</v>
      </c>
      <c r="X91">
        <v>1.13064471168527</v>
      </c>
      <c r="Y91">
        <v>547.08034470419</v>
      </c>
      <c r="Z91">
        <v>547.08034470419</v>
      </c>
      <c r="AA91" s="44">
        <v>547.08034470419</v>
      </c>
      <c r="AB91" s="44">
        <v>547.08031629946299</v>
      </c>
      <c r="AC91" s="44">
        <v>547.08031629946299</v>
      </c>
      <c r="AD91" s="44">
        <v>4.1065437036743099E-237</v>
      </c>
      <c r="AE91" s="44">
        <v>547.080316299478</v>
      </c>
      <c r="AF91" s="44">
        <v>2.8404722657854599E-5</v>
      </c>
      <c r="AG91" s="44">
        <v>2.8404722657854599E-5</v>
      </c>
      <c r="AH91" s="44">
        <v>6.1133112833148697E-15</v>
      </c>
      <c r="AI91" s="44">
        <v>6.1133112833148697E-15</v>
      </c>
      <c r="AJ91" s="44">
        <v>6.1133112833148697E-15</v>
      </c>
      <c r="AK91" s="44">
        <v>6.1133112833148697E-15</v>
      </c>
      <c r="AL91" s="44">
        <v>6.1133112833148697E-15</v>
      </c>
      <c r="AM91" s="44">
        <v>5.5931553278939997E-15</v>
      </c>
      <c r="AN91" s="44">
        <v>5.20155955420885E-16</v>
      </c>
      <c r="AO91" s="44">
        <v>2.84047226517416E-5</v>
      </c>
      <c r="AP91" s="44">
        <v>2.84047226517416E-5</v>
      </c>
      <c r="AQ91" s="44">
        <v>2.84047226517416E-5</v>
      </c>
      <c r="AR91" s="44">
        <v>2.84047226517416E-5</v>
      </c>
      <c r="AS91" s="44">
        <v>2.84047226517416E-5</v>
      </c>
      <c r="AT91" s="44">
        <v>2.8120675425224199E-5</v>
      </c>
      <c r="AU91" s="44">
        <v>2.8404722651741601E-7</v>
      </c>
      <c r="AV91" s="44">
        <v>1.97306718700659E-24</v>
      </c>
      <c r="AW91" s="44">
        <v>1.9533365151365301E-24</v>
      </c>
      <c r="AX91" s="44">
        <v>1.9730671870065899E-26</v>
      </c>
      <c r="AY91" s="44">
        <v>0</v>
      </c>
      <c r="AZ91" s="44">
        <v>0</v>
      </c>
      <c r="BA91" s="44">
        <v>0</v>
      </c>
      <c r="BB91" s="44">
        <v>0</v>
      </c>
      <c r="BC91">
        <v>0</v>
      </c>
      <c r="BD91" s="62">
        <v>0</v>
      </c>
    </row>
    <row r="92" spans="2:56">
      <c r="B92" s="61" t="s">
        <v>137</v>
      </c>
      <c r="C92" t="s">
        <v>119</v>
      </c>
      <c r="D92">
        <v>0</v>
      </c>
      <c r="E92">
        <v>0</v>
      </c>
      <c r="F92" s="44">
        <v>2.32225974659644E-54</v>
      </c>
      <c r="G92" s="44">
        <v>2.32225974659644E-54</v>
      </c>
      <c r="H92" s="44">
        <v>2.32225974659644E-54</v>
      </c>
      <c r="I92" s="44">
        <v>2.32225974659644E-54</v>
      </c>
      <c r="J92">
        <v>4238.5610838294897</v>
      </c>
      <c r="K92">
        <v>4238.5610838294897</v>
      </c>
      <c r="L92">
        <v>4238.5610838294897</v>
      </c>
      <c r="M92">
        <v>4238.5610838294897</v>
      </c>
      <c r="N92">
        <v>4238.5610838294897</v>
      </c>
      <c r="O92">
        <v>4127.0752527107397</v>
      </c>
      <c r="P92">
        <v>1105.33971071976</v>
      </c>
      <c r="Q92">
        <v>1105.33971071976</v>
      </c>
      <c r="R92">
        <v>1105.33971071976</v>
      </c>
      <c r="S92">
        <v>993.95118553536804</v>
      </c>
      <c r="T92">
        <v>111.38852518434901</v>
      </c>
      <c r="U92">
        <v>111.38852518434901</v>
      </c>
      <c r="V92">
        <v>111.387565549353</v>
      </c>
      <c r="W92">
        <v>111.3875655392</v>
      </c>
      <c r="X92" s="44">
        <v>1.01247447610021E-8</v>
      </c>
      <c r="Y92">
        <v>9.5964512408277397E-4</v>
      </c>
      <c r="Z92" s="44">
        <v>9.5964512408277397E-4</v>
      </c>
      <c r="AA92">
        <v>9.5964512408277397E-4</v>
      </c>
      <c r="AB92">
        <v>9.5964512408275499E-4</v>
      </c>
      <c r="AC92">
        <v>9.5964512408275597E-4</v>
      </c>
      <c r="AD92">
        <v>0</v>
      </c>
      <c r="AE92">
        <v>9.59645124082786E-4</v>
      </c>
      <c r="AF92" s="44">
        <v>1.03161813053761E-17</v>
      </c>
      <c r="AG92" s="44">
        <v>1.03161813053761E-17</v>
      </c>
      <c r="AH92" s="44">
        <v>0</v>
      </c>
      <c r="AI92" s="44">
        <v>0</v>
      </c>
      <c r="AJ92">
        <v>0</v>
      </c>
      <c r="AK92">
        <v>0</v>
      </c>
      <c r="AL92">
        <v>0</v>
      </c>
      <c r="AM92" s="44">
        <v>0</v>
      </c>
      <c r="AN92" s="44">
        <v>0</v>
      </c>
      <c r="AO92" s="44">
        <v>0</v>
      </c>
      <c r="AP92" s="44">
        <v>0</v>
      </c>
      <c r="AQ92" s="44">
        <v>0</v>
      </c>
      <c r="AR92">
        <v>0</v>
      </c>
      <c r="AS92">
        <v>0</v>
      </c>
      <c r="AT92">
        <v>0</v>
      </c>
      <c r="AU92">
        <v>0</v>
      </c>
      <c r="AV92" s="44">
        <v>2.34571691575398E-54</v>
      </c>
      <c r="AW92" s="44">
        <v>2.32225974659644E-54</v>
      </c>
      <c r="AX92" s="44">
        <v>2.3457169157539799E-56</v>
      </c>
      <c r="AY92">
        <v>0</v>
      </c>
      <c r="AZ92">
        <v>0</v>
      </c>
      <c r="BA92">
        <v>0</v>
      </c>
      <c r="BB92">
        <v>0</v>
      </c>
      <c r="BC92">
        <v>0</v>
      </c>
      <c r="BD92" s="62">
        <v>0</v>
      </c>
    </row>
    <row r="93" spans="2:56">
      <c r="B93" s="61" t="s">
        <v>91</v>
      </c>
      <c r="C93" t="s">
        <v>119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16719.342027499999</v>
      </c>
      <c r="AZ93">
        <v>0</v>
      </c>
      <c r="BA93">
        <v>16719.342027500101</v>
      </c>
      <c r="BB93">
        <v>16719.342027500101</v>
      </c>
      <c r="BC93">
        <v>0</v>
      </c>
      <c r="BD93" s="62">
        <v>0</v>
      </c>
    </row>
    <row r="94" spans="2:56">
      <c r="B94" s="61" t="s">
        <v>166</v>
      </c>
      <c r="C94" t="s">
        <v>119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 s="62">
        <v>0</v>
      </c>
    </row>
    <row r="95" spans="2:56">
      <c r="B95" s="61" t="s">
        <v>167</v>
      </c>
      <c r="C95" t="s">
        <v>119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44798.32</v>
      </c>
      <c r="BA95">
        <v>44798.320000000102</v>
      </c>
      <c r="BB95">
        <v>44798.320000000102</v>
      </c>
      <c r="BC95">
        <v>255.91040300000199</v>
      </c>
      <c r="BD95" s="62">
        <v>255.91040300000199</v>
      </c>
    </row>
    <row r="96" spans="2:56">
      <c r="B96" s="61" t="s">
        <v>168</v>
      </c>
      <c r="C96" t="s">
        <v>119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61261.751624500197</v>
      </c>
      <c r="BD96" s="62">
        <v>61261.751624500197</v>
      </c>
    </row>
    <row r="97" spans="2:56">
      <c r="B97" s="61" t="s">
        <v>120</v>
      </c>
      <c r="BD97" s="62"/>
    </row>
    <row r="98" spans="2:56">
      <c r="B98" s="61" t="s">
        <v>132</v>
      </c>
      <c r="D98">
        <v>0</v>
      </c>
      <c r="E98">
        <v>1</v>
      </c>
      <c r="F98">
        <v>0.35439247084765702</v>
      </c>
      <c r="G98">
        <v>0.35439247084765702</v>
      </c>
      <c r="H98">
        <v>0.35439247084765702</v>
      </c>
      <c r="I98">
        <v>0.35439247084765702</v>
      </c>
      <c r="J98">
        <v>0.393696989076527</v>
      </c>
      <c r="K98">
        <v>0.393696989076527</v>
      </c>
      <c r="L98">
        <v>0.393696989076527</v>
      </c>
      <c r="M98">
        <v>0.393696989076527</v>
      </c>
      <c r="N98">
        <v>0.393696989076527</v>
      </c>
      <c r="O98" s="44">
        <v>9.8136380852963394E-5</v>
      </c>
      <c r="P98">
        <v>0.39490135608750498</v>
      </c>
      <c r="Q98">
        <v>0.39490135608750399</v>
      </c>
      <c r="R98">
        <v>0.39490135608750399</v>
      </c>
      <c r="S98">
        <v>1.4735578557393099E-4</v>
      </c>
      <c r="T98">
        <v>0.39538188794692503</v>
      </c>
      <c r="U98">
        <v>0.39538188794692503</v>
      </c>
      <c r="V98">
        <v>1.7386974320536899E-4</v>
      </c>
      <c r="W98" s="44">
        <v>1.01421866310782E-11</v>
      </c>
      <c r="X98">
        <v>4.5623587251281102E-3</v>
      </c>
      <c r="Y98" s="44">
        <v>0.39991279299314397</v>
      </c>
      <c r="Z98" s="44">
        <v>0.39991279299314397</v>
      </c>
      <c r="AA98">
        <v>0.39991279299314397</v>
      </c>
      <c r="AB98">
        <v>1.27449601545819E-3</v>
      </c>
      <c r="AC98" s="44">
        <v>1.6135800821281801E-14</v>
      </c>
      <c r="AD98" s="44">
        <v>3.4903692454353103E-14</v>
      </c>
      <c r="AE98" s="44">
        <v>6.1796268501636201E-44</v>
      </c>
      <c r="AF98" s="44">
        <v>0.50076283783269604</v>
      </c>
      <c r="AG98" s="44">
        <v>0.50076283783269604</v>
      </c>
      <c r="AH98">
        <v>0.77181875328112604</v>
      </c>
      <c r="AI98">
        <v>0.77181875328112604</v>
      </c>
      <c r="AJ98">
        <v>0.77181875328112604</v>
      </c>
      <c r="AK98">
        <v>0.77181875328112604</v>
      </c>
      <c r="AL98">
        <v>0.77181875328112604</v>
      </c>
      <c r="AM98">
        <v>0.77181875328112604</v>
      </c>
      <c r="AN98">
        <v>0.77181875328112604</v>
      </c>
      <c r="AO98">
        <v>3.2071539628097802E-3</v>
      </c>
      <c r="AP98">
        <v>3.2071539628097802E-3</v>
      </c>
      <c r="AQ98">
        <v>3.2071539628097802E-3</v>
      </c>
      <c r="AR98">
        <v>3.2071539628097802E-3</v>
      </c>
      <c r="AS98">
        <v>3.2071539628097802E-3</v>
      </c>
      <c r="AT98">
        <v>3.2071539628097802E-3</v>
      </c>
      <c r="AU98">
        <v>3.2071539628097802E-3</v>
      </c>
      <c r="AV98">
        <v>3.6898593036474902E-3</v>
      </c>
      <c r="AW98">
        <v>3.6898593036474902E-3</v>
      </c>
      <c r="AX98">
        <v>3.6898593036474902E-3</v>
      </c>
      <c r="AY98">
        <v>0</v>
      </c>
      <c r="AZ98">
        <v>0</v>
      </c>
      <c r="BA98">
        <v>0</v>
      </c>
      <c r="BB98">
        <v>0</v>
      </c>
      <c r="BC98">
        <v>0</v>
      </c>
      <c r="BD98" s="62">
        <v>0</v>
      </c>
    </row>
    <row r="99" spans="2:56">
      <c r="B99" s="61" t="s">
        <v>131</v>
      </c>
      <c r="D99">
        <v>1</v>
      </c>
      <c r="E99">
        <v>0</v>
      </c>
      <c r="F99">
        <v>0.63457910130075901</v>
      </c>
      <c r="G99">
        <v>0.63457910130075901</v>
      </c>
      <c r="H99">
        <v>0.63457910130075901</v>
      </c>
      <c r="I99">
        <v>0.63457910130075901</v>
      </c>
      <c r="J99">
        <v>0.44932707343199701</v>
      </c>
      <c r="K99">
        <v>0.44932707343199701</v>
      </c>
      <c r="L99">
        <v>0.44932707343199701</v>
      </c>
      <c r="M99">
        <v>0.44932707343199701</v>
      </c>
      <c r="N99">
        <v>0.44932707343199701</v>
      </c>
      <c r="O99">
        <v>7.5555114768419899E-4</v>
      </c>
      <c r="P99">
        <v>0.45070045530010999</v>
      </c>
      <c r="Q99">
        <v>0.45070045530010999</v>
      </c>
      <c r="R99">
        <v>0.45070045530010999</v>
      </c>
      <c r="S99">
        <v>1.4695985675294899E-3</v>
      </c>
      <c r="T99">
        <v>0.45124730153530801</v>
      </c>
      <c r="U99">
        <v>0.45124730153530801</v>
      </c>
      <c r="V99">
        <v>4.3167002083724397E-3</v>
      </c>
      <c r="W99" s="44">
        <v>1.05281647950863E-8</v>
      </c>
      <c r="X99">
        <v>0.113270362124625</v>
      </c>
      <c r="Y99" s="44">
        <v>0.45641840376850101</v>
      </c>
      <c r="Z99" s="44">
        <v>0.45641840376850101</v>
      </c>
      <c r="AA99">
        <v>0.45641840376850101</v>
      </c>
      <c r="AB99">
        <v>0.34413463195736899</v>
      </c>
      <c r="AC99" s="44">
        <v>5.25718743838689E-5</v>
      </c>
      <c r="AD99">
        <v>1.13719334761696E-4</v>
      </c>
      <c r="AE99" s="44">
        <v>2.5594963484721398E-18</v>
      </c>
      <c r="AF99" s="44">
        <v>0.48482466455116802</v>
      </c>
      <c r="AG99">
        <v>0.48482466455116802</v>
      </c>
      <c r="AH99">
        <v>0.228082825079788</v>
      </c>
      <c r="AI99">
        <v>0.228082825079788</v>
      </c>
      <c r="AJ99">
        <v>0.228082825079788</v>
      </c>
      <c r="AK99">
        <v>0.228082825079788</v>
      </c>
      <c r="AL99">
        <v>0.228082825079788</v>
      </c>
      <c r="AM99">
        <v>0.228082825079788</v>
      </c>
      <c r="AN99">
        <v>0.228082825079788</v>
      </c>
      <c r="AO99">
        <v>0.95610514112091205</v>
      </c>
      <c r="AP99">
        <v>0.95610514112091305</v>
      </c>
      <c r="AQ99">
        <v>0.95610514112091305</v>
      </c>
      <c r="AR99">
        <v>0.95610514112091305</v>
      </c>
      <c r="AS99">
        <v>0.95610514112091305</v>
      </c>
      <c r="AT99">
        <v>0.95610514112091205</v>
      </c>
      <c r="AU99">
        <v>0.95610514112091205</v>
      </c>
      <c r="AV99">
        <v>0.99622233249108405</v>
      </c>
      <c r="AW99">
        <v>0.99622233249108405</v>
      </c>
      <c r="AX99">
        <v>0.99622233249108405</v>
      </c>
      <c r="AY99">
        <v>0</v>
      </c>
      <c r="AZ99">
        <v>0</v>
      </c>
      <c r="BA99">
        <v>0</v>
      </c>
      <c r="BB99">
        <v>0</v>
      </c>
      <c r="BC99">
        <v>0</v>
      </c>
      <c r="BD99" s="62">
        <v>0</v>
      </c>
    </row>
    <row r="100" spans="2:56">
      <c r="B100" s="61" t="s">
        <v>133</v>
      </c>
      <c r="D100">
        <v>0</v>
      </c>
      <c r="E100">
        <v>0</v>
      </c>
      <c r="F100">
        <v>1.12745749201473E-4</v>
      </c>
      <c r="G100">
        <v>1.12745749201473E-4</v>
      </c>
      <c r="H100">
        <v>1.12745749201473E-4</v>
      </c>
      <c r="I100">
        <v>1.12745749201473E-4</v>
      </c>
      <c r="J100">
        <v>3.7544114308550201E-3</v>
      </c>
      <c r="K100">
        <v>3.7544114308550201E-3</v>
      </c>
      <c r="L100">
        <v>3.7544114308550201E-3</v>
      </c>
      <c r="M100">
        <v>3.7544114308550201E-3</v>
      </c>
      <c r="N100">
        <v>3.7544114308550201E-3</v>
      </c>
      <c r="O100" s="44">
        <v>4.43285177148615E-5</v>
      </c>
      <c r="P100">
        <v>3.7658304187694102E-3</v>
      </c>
      <c r="Q100">
        <v>3.7658304187694102E-3</v>
      </c>
      <c r="R100">
        <v>3.7658304187694102E-3</v>
      </c>
      <c r="S100">
        <v>1.0431657266686E-4</v>
      </c>
      <c r="T100">
        <v>3.77028755930608E-3</v>
      </c>
      <c r="U100">
        <v>3.77028755930608E-3</v>
      </c>
      <c r="V100">
        <v>6.5939510738826799E-4</v>
      </c>
      <c r="W100" s="44">
        <v>2.8326365774223098E-7</v>
      </c>
      <c r="X100">
        <v>1.7295460900478499E-2</v>
      </c>
      <c r="Y100" s="44">
        <v>3.81349080332362E-3</v>
      </c>
      <c r="Z100">
        <v>3.81349080332362E-3</v>
      </c>
      <c r="AA100" s="44">
        <v>3.81349080332362E-3</v>
      </c>
      <c r="AB100" s="44">
        <v>1.8304832760935402E-2</v>
      </c>
      <c r="AC100" s="44">
        <v>2.7963595629392199E-2</v>
      </c>
      <c r="AD100" s="44">
        <v>4.6644173009586102E-16</v>
      </c>
      <c r="AE100" s="44">
        <v>5.2005454893308399E-2</v>
      </c>
      <c r="AF100" s="44">
        <v>1.4737919967046999E-4</v>
      </c>
      <c r="AG100" s="44">
        <v>1.4737919967046999E-4</v>
      </c>
      <c r="AH100" s="44">
        <v>1.9162309642100701E-7</v>
      </c>
      <c r="AI100" s="44">
        <v>1.9162309642100701E-7</v>
      </c>
      <c r="AJ100" s="44">
        <v>1.9162309642100701E-7</v>
      </c>
      <c r="AK100" s="44">
        <v>1.9162309642100701E-7</v>
      </c>
      <c r="AL100" s="44">
        <v>1.9162309642100701E-7</v>
      </c>
      <c r="AM100" s="44">
        <v>1.9162309642100701E-7</v>
      </c>
      <c r="AN100" s="44">
        <v>1.9162309642100701E-7</v>
      </c>
      <c r="AO100" s="44">
        <v>4.1755968432003702E-4</v>
      </c>
      <c r="AP100" s="44">
        <v>4.1755968432003702E-4</v>
      </c>
      <c r="AQ100" s="44">
        <v>4.1755968432003702E-4</v>
      </c>
      <c r="AR100">
        <v>4.1755968432003702E-4</v>
      </c>
      <c r="AS100">
        <v>4.1755968432003702E-4</v>
      </c>
      <c r="AT100">
        <v>4.1755968432003702E-4</v>
      </c>
      <c r="AU100">
        <v>4.1755968432003702E-4</v>
      </c>
      <c r="AV100" s="44">
        <v>1.19069408394074E-8</v>
      </c>
      <c r="AW100" s="44">
        <v>1.19069408394074E-8</v>
      </c>
      <c r="AX100" s="44">
        <v>1.19069408394074E-8</v>
      </c>
      <c r="AY100" s="44">
        <v>0</v>
      </c>
      <c r="AZ100" s="44">
        <v>0</v>
      </c>
      <c r="BA100" s="44">
        <v>0</v>
      </c>
      <c r="BB100" s="44">
        <v>0</v>
      </c>
      <c r="BC100">
        <v>0</v>
      </c>
      <c r="BD100" s="62">
        <v>0</v>
      </c>
    </row>
    <row r="101" spans="2:56">
      <c r="B101" s="61" t="s">
        <v>134</v>
      </c>
      <c r="D101">
        <v>0</v>
      </c>
      <c r="E101">
        <v>0</v>
      </c>
      <c r="F101">
        <v>9.2294306659249491E-3</v>
      </c>
      <c r="G101">
        <v>9.2294306659249491E-3</v>
      </c>
      <c r="H101">
        <v>9.2294306659249491E-3</v>
      </c>
      <c r="I101">
        <v>9.2294306659249491E-3</v>
      </c>
      <c r="J101">
        <v>6.9621724488524994E-2</v>
      </c>
      <c r="K101">
        <v>6.9621724488524994E-2</v>
      </c>
      <c r="L101">
        <v>6.9621724488524994E-2</v>
      </c>
      <c r="M101">
        <v>6.9621724488524994E-2</v>
      </c>
      <c r="N101">
        <v>6.9621724488524994E-2</v>
      </c>
      <c r="O101">
        <v>5.5116220660955196E-4</v>
      </c>
      <c r="P101">
        <v>6.9833357183269107E-2</v>
      </c>
      <c r="Q101">
        <v>6.9833357183269107E-2</v>
      </c>
      <c r="R101">
        <v>6.9833357183269107E-2</v>
      </c>
      <c r="S101">
        <v>1.25383392511399E-3</v>
      </c>
      <c r="T101">
        <v>6.9916838657311603E-2</v>
      </c>
      <c r="U101">
        <v>6.9916838657311603E-2</v>
      </c>
      <c r="V101">
        <v>6.7580036006224904E-3</v>
      </c>
      <c r="W101" s="44">
        <v>9.2115378851081798E-7</v>
      </c>
      <c r="X101">
        <v>0.17730871788735</v>
      </c>
      <c r="Y101" s="44">
        <v>7.0718051701547199E-2</v>
      </c>
      <c r="Z101">
        <v>7.0718051701547199E-2</v>
      </c>
      <c r="AA101" s="44">
        <v>7.0718051701547199E-2</v>
      </c>
      <c r="AB101" s="44">
        <v>0.30257680770858703</v>
      </c>
      <c r="AC101" s="44">
        <v>0.46218908563621902</v>
      </c>
      <c r="AD101" s="44">
        <v>0.99877124100691195</v>
      </c>
      <c r="AE101" s="44">
        <v>8.59547263417574E-4</v>
      </c>
      <c r="AF101" s="44">
        <v>1.2060952980644499E-2</v>
      </c>
      <c r="AG101">
        <v>1.2060952980644499E-2</v>
      </c>
      <c r="AH101" s="44">
        <v>9.6312609701323902E-5</v>
      </c>
      <c r="AI101" s="44">
        <v>9.6312609701323902E-5</v>
      </c>
      <c r="AJ101" s="44">
        <v>9.6312609701323902E-5</v>
      </c>
      <c r="AK101" s="44">
        <v>9.6312609701323902E-5</v>
      </c>
      <c r="AL101" s="44">
        <v>9.6312609701323902E-5</v>
      </c>
      <c r="AM101" s="44">
        <v>9.6312609701323902E-5</v>
      </c>
      <c r="AN101" s="44">
        <v>9.6312609701323902E-5</v>
      </c>
      <c r="AO101" s="44">
        <v>3.4023488883278601E-2</v>
      </c>
      <c r="AP101" s="44">
        <v>3.4023488883278601E-2</v>
      </c>
      <c r="AQ101" s="44">
        <v>3.4023488883278601E-2</v>
      </c>
      <c r="AR101">
        <v>3.4023488883278601E-2</v>
      </c>
      <c r="AS101">
        <v>3.4023488883278601E-2</v>
      </c>
      <c r="AT101">
        <v>3.4023488883278601E-2</v>
      </c>
      <c r="AU101">
        <v>3.4023488883278601E-2</v>
      </c>
      <c r="AV101" s="44">
        <v>8.7328118526053096E-5</v>
      </c>
      <c r="AW101" s="44">
        <v>8.7328118526053096E-5</v>
      </c>
      <c r="AX101" s="44">
        <v>8.7328118526053096E-5</v>
      </c>
      <c r="AY101">
        <v>0</v>
      </c>
      <c r="AZ101">
        <v>0</v>
      </c>
      <c r="BA101">
        <v>0</v>
      </c>
      <c r="BB101">
        <v>0</v>
      </c>
      <c r="BC101">
        <v>0</v>
      </c>
      <c r="BD101" s="62">
        <v>0</v>
      </c>
    </row>
    <row r="102" spans="2:56">
      <c r="B102" s="61" t="s">
        <v>135</v>
      </c>
      <c r="D102">
        <v>0</v>
      </c>
      <c r="E102">
        <v>0</v>
      </c>
      <c r="F102">
        <v>1.68625140912488E-3</v>
      </c>
      <c r="G102">
        <v>1.68625140912488E-3</v>
      </c>
      <c r="H102">
        <v>1.68625140912488E-3</v>
      </c>
      <c r="I102">
        <v>1.68625140912488E-3</v>
      </c>
      <c r="J102">
        <v>6.7525956375856497E-2</v>
      </c>
      <c r="K102">
        <v>6.7525956375856497E-2</v>
      </c>
      <c r="L102">
        <v>6.7525956375856497E-2</v>
      </c>
      <c r="M102">
        <v>6.7525956375856497E-2</v>
      </c>
      <c r="N102">
        <v>6.7525956375856497E-2</v>
      </c>
      <c r="O102">
        <v>8.9443480761498796E-4</v>
      </c>
      <c r="P102">
        <v>6.7731502946318398E-2</v>
      </c>
      <c r="Q102">
        <v>6.7731502946318398E-2</v>
      </c>
      <c r="R102">
        <v>6.7731502946318398E-2</v>
      </c>
      <c r="S102">
        <v>2.3429105546934701E-3</v>
      </c>
      <c r="T102">
        <v>6.7811100117880302E-2</v>
      </c>
      <c r="U102">
        <v>6.7811100117880302E-2</v>
      </c>
      <c r="V102">
        <v>2.6117664841625001E-2</v>
      </c>
      <c r="W102" s="44">
        <v>1.0562958337905401E-5</v>
      </c>
      <c r="X102">
        <v>0.685063508309535</v>
      </c>
      <c r="Y102" s="44">
        <v>6.8588089518777706E-2</v>
      </c>
      <c r="Z102">
        <v>6.8588089518777706E-2</v>
      </c>
      <c r="AA102" s="44">
        <v>6.8588089518777706E-2</v>
      </c>
      <c r="AB102" s="44">
        <v>0.33098930609205302</v>
      </c>
      <c r="AC102" s="44">
        <v>0.50563961941663704</v>
      </c>
      <c r="AD102" s="44">
        <v>1.1150396582906099E-3</v>
      </c>
      <c r="AE102" s="44">
        <v>0.93940747611484399</v>
      </c>
      <c r="AF102" s="44">
        <v>2.20416540009456E-3</v>
      </c>
      <c r="AG102">
        <v>2.20416540009456E-3</v>
      </c>
      <c r="AH102" s="44">
        <v>1.9174062878948099E-6</v>
      </c>
      <c r="AI102" s="44">
        <v>1.9174062878948099E-6</v>
      </c>
      <c r="AJ102" s="44">
        <v>1.9174062878948099E-6</v>
      </c>
      <c r="AK102" s="44">
        <v>1.9174062878948099E-6</v>
      </c>
      <c r="AL102" s="44">
        <v>1.9174062878948099E-6</v>
      </c>
      <c r="AM102" s="44">
        <v>1.9174062878948099E-6</v>
      </c>
      <c r="AN102" s="44">
        <v>1.9174062878948099E-6</v>
      </c>
      <c r="AO102" s="44">
        <v>6.2466562473717999E-3</v>
      </c>
      <c r="AP102" s="44">
        <v>6.2466562473717999E-3</v>
      </c>
      <c r="AQ102" s="44">
        <v>6.2466562473717999E-3</v>
      </c>
      <c r="AR102">
        <v>6.2466562473717999E-3</v>
      </c>
      <c r="AS102">
        <v>6.2466562473717999E-3</v>
      </c>
      <c r="AT102">
        <v>6.2466562473717999E-3</v>
      </c>
      <c r="AU102">
        <v>6.2466562473717999E-3</v>
      </c>
      <c r="AV102" s="44">
        <v>4.6817980170133298E-7</v>
      </c>
      <c r="AW102" s="44">
        <v>4.6817980170133398E-7</v>
      </c>
      <c r="AX102" s="44">
        <v>4.6817980170133298E-7</v>
      </c>
      <c r="AY102" s="44">
        <v>0</v>
      </c>
      <c r="AZ102" s="44">
        <v>0</v>
      </c>
      <c r="BA102" s="44">
        <v>0</v>
      </c>
      <c r="BB102" s="44">
        <v>0</v>
      </c>
      <c r="BC102">
        <v>0</v>
      </c>
      <c r="BD102" s="62">
        <v>0</v>
      </c>
    </row>
    <row r="103" spans="2:56">
      <c r="B103" s="61" t="s">
        <v>165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 s="62">
        <v>0</v>
      </c>
    </row>
    <row r="104" spans="2:56">
      <c r="B104" s="61" t="s">
        <v>136</v>
      </c>
      <c r="D104">
        <v>0</v>
      </c>
      <c r="E104">
        <v>0</v>
      </c>
      <c r="F104" s="44">
        <v>2.73326283684211E-11</v>
      </c>
      <c r="G104" s="44">
        <v>2.73326283684211E-11</v>
      </c>
      <c r="H104" s="44">
        <v>2.73326283684211E-11</v>
      </c>
      <c r="I104" s="44">
        <v>2.73326283684211E-11</v>
      </c>
      <c r="J104">
        <v>1.1885595291752199E-2</v>
      </c>
      <c r="K104">
        <v>1.1885595291752199E-2</v>
      </c>
      <c r="L104">
        <v>1.1885595291752199E-2</v>
      </c>
      <c r="M104">
        <v>1.1885595291752199E-2</v>
      </c>
      <c r="N104">
        <v>1.1885595291752199E-2</v>
      </c>
      <c r="O104">
        <v>4.0758554607658898E-2</v>
      </c>
      <c r="P104">
        <v>1.19718406156052E-2</v>
      </c>
      <c r="Q104">
        <v>1.19718406156052E-2</v>
      </c>
      <c r="R104">
        <v>1.19718406156052E-2</v>
      </c>
      <c r="S104">
        <v>0.18432426380758099</v>
      </c>
      <c r="T104">
        <v>1.17620369649047E-2</v>
      </c>
      <c r="U104">
        <v>1.17620369649047E-2</v>
      </c>
      <c r="V104">
        <v>0.95258905589332299</v>
      </c>
      <c r="W104">
        <v>0.99023107070972705</v>
      </c>
      <c r="X104">
        <v>2.4995920305003199E-3</v>
      </c>
      <c r="Y104">
        <v>5.4917025139596901E-4</v>
      </c>
      <c r="Z104">
        <v>5.4917025139596901E-4</v>
      </c>
      <c r="AA104" s="44">
        <v>5.4917025139596901E-4</v>
      </c>
      <c r="AB104" s="44">
        <v>2.7199206945272801E-3</v>
      </c>
      <c r="AC104" s="44">
        <v>4.1551201547675304E-3</v>
      </c>
      <c r="AD104" s="44">
        <v>6.7466750901480404E-242</v>
      </c>
      <c r="AE104" s="44">
        <v>7.7275081734450501E-3</v>
      </c>
      <c r="AF104" s="44">
        <v>3.5726690036027197E-11</v>
      </c>
      <c r="AG104" s="44">
        <v>3.5726690036027197E-11</v>
      </c>
      <c r="AH104" s="44">
        <v>1.1877038880616101E-20</v>
      </c>
      <c r="AI104" s="44">
        <v>1.1877038880616101E-20</v>
      </c>
      <c r="AJ104" s="44">
        <v>1.1877038880616101E-20</v>
      </c>
      <c r="AK104" s="44">
        <v>1.1877038880616101E-20</v>
      </c>
      <c r="AL104" s="44">
        <v>1.1877038880616101E-20</v>
      </c>
      <c r="AM104" s="44">
        <v>1.1877038880616101E-20</v>
      </c>
      <c r="AN104" s="44">
        <v>1.1877038880616101E-20</v>
      </c>
      <c r="AO104" s="44">
        <v>1.01307323081241E-10</v>
      </c>
      <c r="AP104" s="44">
        <v>1.01307323081241E-10</v>
      </c>
      <c r="AQ104" s="44">
        <v>1.01307323081241E-10</v>
      </c>
      <c r="AR104" s="44">
        <v>1.01307323081241E-10</v>
      </c>
      <c r="AS104" s="44">
        <v>1.01307323081241E-10</v>
      </c>
      <c r="AT104" s="44">
        <v>1.01307323081241E-10</v>
      </c>
      <c r="AU104" s="44">
        <v>1.01307323081241E-10</v>
      </c>
      <c r="AV104" s="44">
        <v>2.84000006972929E-29</v>
      </c>
      <c r="AW104" s="44">
        <v>2.84000006972929E-29</v>
      </c>
      <c r="AX104" s="44">
        <v>2.84000006972929E-29</v>
      </c>
      <c r="AY104" s="44">
        <v>0</v>
      </c>
      <c r="AZ104" s="44">
        <v>0</v>
      </c>
      <c r="BA104" s="44">
        <v>0</v>
      </c>
      <c r="BB104" s="44">
        <v>0</v>
      </c>
      <c r="BC104">
        <v>0</v>
      </c>
      <c r="BD104" s="62">
        <v>0</v>
      </c>
    </row>
    <row r="105" spans="2:56">
      <c r="B105" s="61" t="s">
        <v>137</v>
      </c>
      <c r="D105">
        <v>0</v>
      </c>
      <c r="E105">
        <v>0</v>
      </c>
      <c r="F105" s="44">
        <v>2.25718129654538E-60</v>
      </c>
      <c r="G105" s="44">
        <v>2.25718129654538E-60</v>
      </c>
      <c r="H105" s="44">
        <v>2.25718129654538E-60</v>
      </c>
      <c r="I105" s="44">
        <v>2.25718129654538E-60</v>
      </c>
      <c r="J105">
        <v>4.1882499044877302E-3</v>
      </c>
      <c r="K105">
        <v>4.1882499044877302E-3</v>
      </c>
      <c r="L105">
        <v>4.1882499044877302E-3</v>
      </c>
      <c r="M105">
        <v>4.1882499044877302E-3</v>
      </c>
      <c r="N105">
        <v>4.1882499044877302E-3</v>
      </c>
      <c r="O105">
        <v>0.95689783233186498</v>
      </c>
      <c r="P105">
        <v>1.09565744842302E-3</v>
      </c>
      <c r="Q105">
        <v>1.09565744842302E-3</v>
      </c>
      <c r="R105">
        <v>1.09565744842302E-3</v>
      </c>
      <c r="S105">
        <v>0.81035772078684098</v>
      </c>
      <c r="T105">
        <v>1.10547218364334E-4</v>
      </c>
      <c r="U105">
        <v>1.10547218364334E-4</v>
      </c>
      <c r="V105">
        <v>9.3853106054637894E-3</v>
      </c>
      <c r="W105" s="44">
        <v>9.7571513761818898E-3</v>
      </c>
      <c r="X105" s="44">
        <v>2.2383451719089099E-11</v>
      </c>
      <c r="Y105" s="44">
        <v>9.6331107330936896E-10</v>
      </c>
      <c r="Z105" s="44">
        <v>9.6331107330936896E-10</v>
      </c>
      <c r="AA105" s="44">
        <v>9.6331107330936896E-10</v>
      </c>
      <c r="AB105" s="44">
        <v>4.7710702699932799E-9</v>
      </c>
      <c r="AC105" s="44">
        <v>7.2885839203141501E-9</v>
      </c>
      <c r="AD105" s="44">
        <v>0</v>
      </c>
      <c r="AE105" s="44">
        <v>1.3554985107336601E-8</v>
      </c>
      <c r="AF105" s="44">
        <v>1.29754131484439E-23</v>
      </c>
      <c r="AG105" s="44">
        <v>1.29754131484439E-23</v>
      </c>
      <c r="AH105" s="44">
        <v>0</v>
      </c>
      <c r="AI105" s="44">
        <v>0</v>
      </c>
      <c r="AJ105">
        <v>0</v>
      </c>
      <c r="AK105">
        <v>0</v>
      </c>
      <c r="AL105">
        <v>0</v>
      </c>
      <c r="AM105" s="44">
        <v>0</v>
      </c>
      <c r="AN105" s="44">
        <v>0</v>
      </c>
      <c r="AO105" s="44">
        <v>0</v>
      </c>
      <c r="AP105" s="44">
        <v>0</v>
      </c>
      <c r="AQ105" s="44">
        <v>0</v>
      </c>
      <c r="AR105">
        <v>0</v>
      </c>
      <c r="AS105">
        <v>0</v>
      </c>
      <c r="AT105">
        <v>0</v>
      </c>
      <c r="AU105">
        <v>0</v>
      </c>
      <c r="AV105" s="44">
        <v>3.3763858869972798E-59</v>
      </c>
      <c r="AW105" s="44">
        <v>3.3763858869972798E-59</v>
      </c>
      <c r="AX105" s="44">
        <v>3.3763858869972798E-59</v>
      </c>
      <c r="AY105">
        <v>0</v>
      </c>
      <c r="AZ105">
        <v>0</v>
      </c>
      <c r="BA105">
        <v>0</v>
      </c>
      <c r="BB105">
        <v>0</v>
      </c>
      <c r="BC105">
        <v>0</v>
      </c>
      <c r="BD105" s="62">
        <v>0</v>
      </c>
    </row>
    <row r="106" spans="2:56">
      <c r="B106" s="61" t="s">
        <v>91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0.27178116782178802</v>
      </c>
      <c r="BB106">
        <v>0.27178116782178802</v>
      </c>
      <c r="BC106">
        <v>0</v>
      </c>
      <c r="BD106" s="62">
        <v>0</v>
      </c>
    </row>
    <row r="107" spans="2:56">
      <c r="B107" s="61" t="s">
        <v>166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 s="62">
        <v>0</v>
      </c>
    </row>
    <row r="108" spans="2:56">
      <c r="B108" s="61" t="s">
        <v>167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0.72821883217821204</v>
      </c>
      <c r="BB108">
        <v>0.72821883217821204</v>
      </c>
      <c r="BC108">
        <v>4.1599500788180501E-3</v>
      </c>
      <c r="BD108" s="62">
        <v>4.1599500788180501E-3</v>
      </c>
    </row>
    <row r="109" spans="2:56">
      <c r="B109" s="61" t="s">
        <v>168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0.99584004992118202</v>
      </c>
      <c r="BD109" s="62">
        <v>0.99584004992118202</v>
      </c>
    </row>
    <row r="110" spans="2:56" ht="17.25" thickBot="1">
      <c r="B110" s="74" t="s">
        <v>121</v>
      </c>
      <c r="C110" s="75" t="s">
        <v>122</v>
      </c>
      <c r="D110" s="75">
        <v>327437.64971695602</v>
      </c>
      <c r="E110" s="75">
        <v>1.13867829799002E-3</v>
      </c>
      <c r="F110" s="75">
        <v>4783962.9755431795</v>
      </c>
      <c r="G110" s="75">
        <v>17015263.5526856</v>
      </c>
      <c r="H110" s="75">
        <v>18333969.528035399</v>
      </c>
      <c r="I110" s="75">
        <v>27389526.075531099</v>
      </c>
      <c r="J110" s="75">
        <v>28557235.373459201</v>
      </c>
      <c r="K110" s="75">
        <v>17930771.242311001</v>
      </c>
      <c r="L110" s="75">
        <v>5834095.5172089897</v>
      </c>
      <c r="M110" s="75">
        <v>700678.92332633701</v>
      </c>
      <c r="N110" s="75">
        <v>292520.72655789502</v>
      </c>
      <c r="O110" s="75">
        <v>4.4462477291806</v>
      </c>
      <c r="P110" s="75">
        <v>292494.33726547199</v>
      </c>
      <c r="Q110" s="75">
        <v>222951.103289864</v>
      </c>
      <c r="R110" s="75">
        <v>178929.47625127499</v>
      </c>
      <c r="S110" s="75">
        <v>1.26613521630245</v>
      </c>
      <c r="T110" s="75">
        <v>178928.210116059</v>
      </c>
      <c r="U110" s="75">
        <v>135723.821081248</v>
      </c>
      <c r="V110" s="75">
        <v>12.656143425010701</v>
      </c>
      <c r="W110" s="75">
        <v>21.7610625336041</v>
      </c>
      <c r="X110" s="75">
        <v>10.780547845516001</v>
      </c>
      <c r="Y110" s="75">
        <v>135720.65452636301</v>
      </c>
      <c r="Z110" s="75">
        <v>123493.13361555801</v>
      </c>
      <c r="AA110" s="75">
        <v>58319.025876972999</v>
      </c>
      <c r="AB110" s="75">
        <v>342.95580326398101</v>
      </c>
      <c r="AC110" s="75">
        <v>245.701898628896</v>
      </c>
      <c r="AD110" s="75">
        <v>98.383621473182401</v>
      </c>
      <c r="AE110" s="75">
        <v>109.683432849323</v>
      </c>
      <c r="AF110" s="75">
        <v>78763.777175005496</v>
      </c>
      <c r="AG110" s="75">
        <v>69598.838081807204</v>
      </c>
      <c r="AH110" s="75">
        <v>57548.545904506602</v>
      </c>
      <c r="AI110" s="75">
        <v>63769.287091821803</v>
      </c>
      <c r="AJ110" s="75">
        <v>63769.287091821803</v>
      </c>
      <c r="AK110" s="75">
        <v>109829.486158796</v>
      </c>
      <c r="AL110" s="75">
        <v>154924.559307674</v>
      </c>
      <c r="AM110" s="75">
        <v>141742.67989237499</v>
      </c>
      <c r="AN110" s="75">
        <v>13181.879415298899</v>
      </c>
      <c r="AO110" s="75">
        <v>578.17093972686098</v>
      </c>
      <c r="AP110" s="75">
        <v>8020.0066248879402</v>
      </c>
      <c r="AQ110" s="75">
        <v>58051.0243767668</v>
      </c>
      <c r="AR110" s="75">
        <v>213144.86176160601</v>
      </c>
      <c r="AS110" s="75">
        <v>252842.639909119</v>
      </c>
      <c r="AT110" s="75">
        <v>250314.213510028</v>
      </c>
      <c r="AU110" s="75">
        <v>2528.42639909119</v>
      </c>
      <c r="AV110" s="75">
        <v>6951.1663315696997</v>
      </c>
      <c r="AW110" s="75">
        <v>6881.6546682540102</v>
      </c>
      <c r="AX110" s="75">
        <v>69.511663315697007</v>
      </c>
      <c r="AY110" s="75">
        <v>28.5550454362414</v>
      </c>
      <c r="AZ110" s="75">
        <v>3502.90289429615</v>
      </c>
      <c r="BA110" s="75">
        <v>132156.887269628</v>
      </c>
      <c r="BB110" s="75">
        <v>35411.307271500402</v>
      </c>
      <c r="BC110" s="75">
        <v>917587.64694124705</v>
      </c>
      <c r="BD110" s="76">
        <v>116788.17724538399</v>
      </c>
    </row>
    <row r="115" spans="2:14" ht="17.25" thickBot="1"/>
    <row r="116" spans="2:14" ht="21" thickBot="1">
      <c r="B116" s="948" t="s">
        <v>627</v>
      </c>
      <c r="C116" s="949"/>
      <c r="D116" s="949"/>
      <c r="E116" s="949"/>
      <c r="F116" s="949"/>
      <c r="G116" s="949"/>
      <c r="H116" s="949"/>
      <c r="I116" s="949"/>
      <c r="J116" s="949"/>
      <c r="K116" s="949"/>
      <c r="L116" s="949"/>
      <c r="M116" s="949"/>
      <c r="N116" s="950"/>
    </row>
    <row r="117" spans="2:14" ht="17.25" thickBot="1">
      <c r="B117" s="101"/>
      <c r="C117" s="102"/>
      <c r="D117" s="103" t="s">
        <v>138</v>
      </c>
      <c r="E117" s="103" t="s">
        <v>571</v>
      </c>
      <c r="F117" s="103" t="s">
        <v>564</v>
      </c>
      <c r="G117" s="103" t="s">
        <v>565</v>
      </c>
      <c r="H117" s="103" t="s">
        <v>576</v>
      </c>
      <c r="I117" s="103" t="s">
        <v>575</v>
      </c>
      <c r="J117" s="103" t="s">
        <v>563</v>
      </c>
      <c r="K117" s="103" t="s">
        <v>577</v>
      </c>
      <c r="L117" s="103" t="s">
        <v>578</v>
      </c>
      <c r="M117" s="103" t="s">
        <v>572</v>
      </c>
      <c r="N117" s="104" t="s">
        <v>570</v>
      </c>
    </row>
    <row r="118" spans="2:14">
      <c r="B118" s="65" t="str">
        <f t="shared" ref="B118:D137" si="0">B58</f>
        <v>Mole Flows</v>
      </c>
      <c r="C118" s="52" t="str">
        <f t="shared" si="0"/>
        <v>kmol/hr</v>
      </c>
      <c r="D118" s="53">
        <f t="shared" si="0"/>
        <v>13186.8</v>
      </c>
      <c r="E118" s="53">
        <f t="shared" ref="E118:E149" si="1">AZ58</f>
        <v>1400</v>
      </c>
      <c r="F118" s="53">
        <f t="shared" ref="F118:F149" si="2">I58</f>
        <v>221973.907566304</v>
      </c>
      <c r="G118" s="53">
        <f t="shared" ref="G118:G149" si="3">J58</f>
        <v>231437.848405678</v>
      </c>
      <c r="H118" s="53">
        <f t="shared" ref="H118:H149" si="4">AD58</f>
        <v>2170.0514827860102</v>
      </c>
      <c r="I118" s="53">
        <f t="shared" ref="I118:I149" si="5">AE58</f>
        <v>2685.84536912353</v>
      </c>
      <c r="J118" s="53">
        <f t="shared" ref="J118:J130" si="6">O58</f>
        <v>35.101908813737197</v>
      </c>
      <c r="K118" s="53">
        <f t="shared" ref="K118:K149" si="7">W58</f>
        <v>145.592421889571</v>
      </c>
      <c r="L118" s="53">
        <f t="shared" ref="L118:L149" si="8">AN58</f>
        <v>17390.5950942979</v>
      </c>
      <c r="M118" s="53">
        <f t="shared" ref="M118:M149" si="9">BD58</f>
        <v>1400</v>
      </c>
      <c r="N118" s="66">
        <f t="shared" ref="N118:N149" si="10">AY58</f>
        <v>1392.0025000000001</v>
      </c>
    </row>
    <row r="119" spans="2:14">
      <c r="B119" s="67" t="str">
        <f t="shared" si="0"/>
        <v>H2</v>
      </c>
      <c r="C119" s="50" t="str">
        <f t="shared" si="0"/>
        <v>kmol/hr</v>
      </c>
      <c r="D119" s="54">
        <f t="shared" si="0"/>
        <v>0</v>
      </c>
      <c r="E119" s="54">
        <f t="shared" si="1"/>
        <v>0</v>
      </c>
      <c r="F119" s="54">
        <f t="shared" si="2"/>
        <v>180869.01015529799</v>
      </c>
      <c r="G119" s="54">
        <f t="shared" si="3"/>
        <v>197643.83689999999</v>
      </c>
      <c r="H119" s="54">
        <f t="shared" si="4"/>
        <v>1.0538853091876501E-9</v>
      </c>
      <c r="I119" s="54">
        <f t="shared" si="5"/>
        <v>2.1702471351603201E-39</v>
      </c>
      <c r="J119" s="54">
        <f t="shared" si="6"/>
        <v>0.20996271436505401</v>
      </c>
      <c r="K119" s="54">
        <f t="shared" si="7"/>
        <v>5.7435524468904502E-8</v>
      </c>
      <c r="L119" s="54">
        <f t="shared" si="8"/>
        <v>16767.7985447221</v>
      </c>
      <c r="M119" s="54">
        <f t="shared" si="9"/>
        <v>0</v>
      </c>
      <c r="N119" s="68">
        <f t="shared" si="10"/>
        <v>0</v>
      </c>
    </row>
    <row r="120" spans="2:14">
      <c r="B120" s="67" t="str">
        <f t="shared" si="0"/>
        <v>CH4</v>
      </c>
      <c r="C120" s="50" t="str">
        <f t="shared" si="0"/>
        <v>kmol/hr</v>
      </c>
      <c r="D120" s="54">
        <f t="shared" si="0"/>
        <v>13186.8</v>
      </c>
      <c r="E120" s="54">
        <f t="shared" si="1"/>
        <v>0</v>
      </c>
      <c r="F120" s="54">
        <f t="shared" si="2"/>
        <v>40695.934923918801</v>
      </c>
      <c r="G120" s="54">
        <f t="shared" si="3"/>
        <v>28344.536499999998</v>
      </c>
      <c r="H120" s="54">
        <f t="shared" si="4"/>
        <v>0.43146132957623401</v>
      </c>
      <c r="I120" s="54">
        <f t="shared" si="5"/>
        <v>1.1295021034885001E-14</v>
      </c>
      <c r="J120" s="54">
        <f t="shared" si="6"/>
        <v>0.20312416833990601</v>
      </c>
      <c r="K120" s="54">
        <f t="shared" si="7"/>
        <v>7.4918186669103899E-6</v>
      </c>
      <c r="L120" s="54">
        <f t="shared" si="8"/>
        <v>622.64269059413596</v>
      </c>
      <c r="M120" s="54">
        <f t="shared" si="9"/>
        <v>0</v>
      </c>
      <c r="N120" s="68">
        <f t="shared" si="10"/>
        <v>0</v>
      </c>
    </row>
    <row r="121" spans="2:14">
      <c r="B121" s="67" t="str">
        <f t="shared" si="0"/>
        <v>C2H6</v>
      </c>
      <c r="C121" s="50" t="str">
        <f t="shared" si="0"/>
        <v>kmol/hr</v>
      </c>
      <c r="D121" s="54">
        <f t="shared" si="0"/>
        <v>0</v>
      </c>
      <c r="E121" s="54">
        <f t="shared" si="1"/>
        <v>0</v>
      </c>
      <c r="F121" s="54">
        <f t="shared" si="2"/>
        <v>3.8575920635591001</v>
      </c>
      <c r="G121" s="54">
        <f t="shared" si="3"/>
        <v>126.35705460440199</v>
      </c>
      <c r="H121" s="54">
        <f t="shared" si="4"/>
        <v>9.4418222958600604E-13</v>
      </c>
      <c r="I121" s="54">
        <f t="shared" si="5"/>
        <v>122.442527845618</v>
      </c>
      <c r="J121" s="54">
        <f t="shared" si="6"/>
        <v>6.3581650537586102E-3</v>
      </c>
      <c r="K121" s="54">
        <f t="shared" si="7"/>
        <v>1.0754155194E-4</v>
      </c>
      <c r="L121" s="54">
        <f t="shared" si="8"/>
        <v>2.7909047960067201E-4</v>
      </c>
      <c r="M121" s="54">
        <f t="shared" si="9"/>
        <v>0</v>
      </c>
      <c r="N121" s="68">
        <f t="shared" si="10"/>
        <v>0</v>
      </c>
    </row>
    <row r="122" spans="2:14">
      <c r="B122" s="67" t="str">
        <f t="shared" si="0"/>
        <v>C2H4</v>
      </c>
      <c r="C122" s="50" t="str">
        <f t="shared" si="0"/>
        <v>kmol/hr</v>
      </c>
      <c r="D122" s="54">
        <f t="shared" si="0"/>
        <v>0</v>
      </c>
      <c r="E122" s="54">
        <f t="shared" si="1"/>
        <v>0</v>
      </c>
      <c r="F122" s="54">
        <f t="shared" si="2"/>
        <v>338.47623823234301</v>
      </c>
      <c r="G122" s="54">
        <f t="shared" si="3"/>
        <v>2511.5368700736799</v>
      </c>
      <c r="H122" s="54">
        <f t="shared" si="4"/>
        <v>2167.01343972831</v>
      </c>
      <c r="I122" s="54">
        <f t="shared" si="5"/>
        <v>2.1691535750314399</v>
      </c>
      <c r="J122" s="54">
        <f t="shared" si="6"/>
        <v>8.4735455812960297E-2</v>
      </c>
      <c r="K122" s="54">
        <f t="shared" si="7"/>
        <v>3.7484760009025601E-4</v>
      </c>
      <c r="L122" s="54">
        <f t="shared" si="8"/>
        <v>0.15035485996443201</v>
      </c>
      <c r="M122" s="54">
        <f t="shared" si="9"/>
        <v>0</v>
      </c>
      <c r="N122" s="68">
        <f t="shared" si="10"/>
        <v>0</v>
      </c>
    </row>
    <row r="123" spans="2:14">
      <c r="B123" s="67" t="str">
        <f t="shared" si="0"/>
        <v>C2H2</v>
      </c>
      <c r="C123" s="50" t="str">
        <f t="shared" si="0"/>
        <v>kmol/hr</v>
      </c>
      <c r="D123" s="54">
        <f t="shared" si="0"/>
        <v>0</v>
      </c>
      <c r="E123" s="54">
        <f t="shared" si="1"/>
        <v>0</v>
      </c>
      <c r="F123" s="54">
        <f t="shared" si="2"/>
        <v>66.628656430606696</v>
      </c>
      <c r="G123" s="54">
        <f t="shared" si="3"/>
        <v>2624.5266182754599</v>
      </c>
      <c r="H123" s="54">
        <f t="shared" si="4"/>
        <v>2.6065817270757701</v>
      </c>
      <c r="I123" s="54">
        <f t="shared" si="5"/>
        <v>2554.2300337809502</v>
      </c>
      <c r="J123" s="54">
        <f t="shared" si="6"/>
        <v>0.14815621953198799</v>
      </c>
      <c r="K123" s="54">
        <f t="shared" si="7"/>
        <v>4.6312008372290303E-3</v>
      </c>
      <c r="L123" s="54">
        <f t="shared" si="8"/>
        <v>3.2250312196558102E-3</v>
      </c>
      <c r="M123" s="54">
        <f t="shared" si="9"/>
        <v>0</v>
      </c>
      <c r="N123" s="68">
        <f t="shared" si="10"/>
        <v>0</v>
      </c>
    </row>
    <row r="124" spans="2:14">
      <c r="B124" s="67" t="str">
        <f t="shared" si="0"/>
        <v>C3-C5</v>
      </c>
      <c r="C124" s="50" t="str">
        <f t="shared" si="0"/>
        <v>kmol/hr</v>
      </c>
      <c r="D124" s="54">
        <f t="shared" si="0"/>
        <v>0</v>
      </c>
      <c r="E124" s="54">
        <f t="shared" si="1"/>
        <v>0</v>
      </c>
      <c r="F124" s="54">
        <f t="shared" si="2"/>
        <v>0</v>
      </c>
      <c r="G124" s="54">
        <f t="shared" si="3"/>
        <v>0</v>
      </c>
      <c r="H124" s="54">
        <f t="shared" si="4"/>
        <v>0</v>
      </c>
      <c r="I124" s="54">
        <f t="shared" si="5"/>
        <v>0</v>
      </c>
      <c r="J124" s="54">
        <f t="shared" si="6"/>
        <v>0</v>
      </c>
      <c r="K124" s="54">
        <f t="shared" si="7"/>
        <v>0</v>
      </c>
      <c r="L124" s="54">
        <f t="shared" si="8"/>
        <v>0</v>
      </c>
      <c r="M124" s="54">
        <f t="shared" si="9"/>
        <v>0</v>
      </c>
      <c r="N124" s="68">
        <f t="shared" si="10"/>
        <v>0</v>
      </c>
    </row>
    <row r="125" spans="2:14">
      <c r="B125" s="67" t="str">
        <f t="shared" si="0"/>
        <v>BEN</v>
      </c>
      <c r="C125" s="50" t="str">
        <f t="shared" si="0"/>
        <v>kmol/hr</v>
      </c>
      <c r="D125" s="54">
        <f t="shared" si="0"/>
        <v>0</v>
      </c>
      <c r="E125" s="54">
        <f t="shared" si="1"/>
        <v>0</v>
      </c>
      <c r="F125" s="54">
        <f t="shared" si="2"/>
        <v>3.5999699195706998E-7</v>
      </c>
      <c r="G125" s="54">
        <f t="shared" si="3"/>
        <v>153.985533324024</v>
      </c>
      <c r="H125" s="54">
        <f t="shared" si="4"/>
        <v>5.2571403709701998E-239</v>
      </c>
      <c r="I125" s="54">
        <f t="shared" si="5"/>
        <v>7.0036464348541303</v>
      </c>
      <c r="J125" s="54">
        <f t="shared" si="6"/>
        <v>2.25044661829924</v>
      </c>
      <c r="K125" s="54">
        <f t="shared" si="7"/>
        <v>144.71826348319701</v>
      </c>
      <c r="L125" s="54">
        <f t="shared" si="8"/>
        <v>6.6589644960968004E-18</v>
      </c>
      <c r="M125" s="54">
        <f t="shared" si="9"/>
        <v>0</v>
      </c>
      <c r="N125" s="68">
        <f t="shared" si="10"/>
        <v>0</v>
      </c>
    </row>
    <row r="126" spans="2:14">
      <c r="B126" s="67" t="str">
        <f t="shared" si="0"/>
        <v>NAP</v>
      </c>
      <c r="C126" s="50" t="str">
        <f t="shared" si="0"/>
        <v>kmol/hr</v>
      </c>
      <c r="D126" s="54">
        <f t="shared" si="0"/>
        <v>0</v>
      </c>
      <c r="E126" s="54">
        <f t="shared" si="1"/>
        <v>0</v>
      </c>
      <c r="F126" s="54">
        <f t="shared" si="2"/>
        <v>1.8118092930555701E-56</v>
      </c>
      <c r="G126" s="54">
        <f t="shared" si="3"/>
        <v>33.068929400000201</v>
      </c>
      <c r="H126" s="54">
        <f t="shared" si="4"/>
        <v>0</v>
      </c>
      <c r="I126" s="54">
        <f t="shared" si="5"/>
        <v>7.4870778619701203E-6</v>
      </c>
      <c r="J126" s="54">
        <f t="shared" si="6"/>
        <v>32.199125472334302</v>
      </c>
      <c r="K126" s="54">
        <f t="shared" si="7"/>
        <v>0.86903726712974705</v>
      </c>
      <c r="L126" s="54">
        <f t="shared" si="8"/>
        <v>0</v>
      </c>
      <c r="M126" s="54">
        <f t="shared" si="9"/>
        <v>0</v>
      </c>
      <c r="N126" s="68">
        <f t="shared" si="10"/>
        <v>0</v>
      </c>
    </row>
    <row r="127" spans="2:14">
      <c r="B127" s="67" t="str">
        <f t="shared" si="0"/>
        <v>C</v>
      </c>
      <c r="C127" s="50" t="str">
        <f t="shared" si="0"/>
        <v>kmol/hr</v>
      </c>
      <c r="D127" s="54">
        <f t="shared" si="0"/>
        <v>0</v>
      </c>
      <c r="E127" s="54">
        <f t="shared" si="1"/>
        <v>0</v>
      </c>
      <c r="F127" s="54">
        <f t="shared" si="2"/>
        <v>0</v>
      </c>
      <c r="G127" s="54">
        <f t="shared" si="3"/>
        <v>0</v>
      </c>
      <c r="H127" s="54">
        <f t="shared" si="4"/>
        <v>0</v>
      </c>
      <c r="I127" s="54">
        <f t="shared" si="5"/>
        <v>0</v>
      </c>
      <c r="J127" s="54">
        <f t="shared" si="6"/>
        <v>0</v>
      </c>
      <c r="K127" s="54">
        <f t="shared" si="7"/>
        <v>0</v>
      </c>
      <c r="L127" s="54">
        <f t="shared" si="8"/>
        <v>0</v>
      </c>
      <c r="M127" s="54">
        <f t="shared" si="9"/>
        <v>0</v>
      </c>
      <c r="N127" s="68">
        <f t="shared" si="10"/>
        <v>1392.0025000000001</v>
      </c>
    </row>
    <row r="128" spans="2:14">
      <c r="B128" s="67" t="str">
        <f t="shared" si="0"/>
        <v>WATER</v>
      </c>
      <c r="C128" s="50" t="str">
        <f t="shared" si="0"/>
        <v>kmol/hr</v>
      </c>
      <c r="D128" s="54">
        <f t="shared" si="0"/>
        <v>0</v>
      </c>
      <c r="E128" s="54">
        <f t="shared" si="1"/>
        <v>0</v>
      </c>
      <c r="F128" s="54">
        <f t="shared" si="2"/>
        <v>0</v>
      </c>
      <c r="G128" s="54">
        <f t="shared" si="3"/>
        <v>0</v>
      </c>
      <c r="H128" s="54">
        <f t="shared" si="4"/>
        <v>0</v>
      </c>
      <c r="I128" s="54">
        <f t="shared" si="5"/>
        <v>0</v>
      </c>
      <c r="J128" s="54">
        <f t="shared" si="6"/>
        <v>0</v>
      </c>
      <c r="K128" s="54">
        <f t="shared" si="7"/>
        <v>0</v>
      </c>
      <c r="L128" s="54">
        <f t="shared" si="8"/>
        <v>0</v>
      </c>
      <c r="M128" s="54">
        <f t="shared" si="9"/>
        <v>0</v>
      </c>
      <c r="N128" s="68">
        <f t="shared" si="10"/>
        <v>0</v>
      </c>
    </row>
    <row r="129" spans="2:14">
      <c r="B129" s="67" t="str">
        <f t="shared" si="0"/>
        <v>O2</v>
      </c>
      <c r="C129" s="50" t="str">
        <f t="shared" si="0"/>
        <v>kmol/hr</v>
      </c>
      <c r="D129" s="54">
        <f t="shared" si="0"/>
        <v>0</v>
      </c>
      <c r="E129" s="54">
        <f t="shared" si="1"/>
        <v>1400</v>
      </c>
      <c r="F129" s="54">
        <f t="shared" si="2"/>
        <v>0</v>
      </c>
      <c r="G129" s="54">
        <f t="shared" si="3"/>
        <v>0</v>
      </c>
      <c r="H129" s="54">
        <f t="shared" si="4"/>
        <v>0</v>
      </c>
      <c r="I129" s="54">
        <f t="shared" si="5"/>
        <v>0</v>
      </c>
      <c r="J129" s="54">
        <f t="shared" si="6"/>
        <v>0</v>
      </c>
      <c r="K129" s="54">
        <f t="shared" si="7"/>
        <v>0</v>
      </c>
      <c r="L129" s="54">
        <f t="shared" si="8"/>
        <v>0</v>
      </c>
      <c r="M129" s="54">
        <f t="shared" si="9"/>
        <v>7.9975000000000298</v>
      </c>
      <c r="N129" s="68">
        <f t="shared" si="10"/>
        <v>0</v>
      </c>
    </row>
    <row r="130" spans="2:14">
      <c r="B130" s="67" t="str">
        <f t="shared" si="0"/>
        <v>CO2</v>
      </c>
      <c r="C130" s="50" t="str">
        <f t="shared" si="0"/>
        <v>kmol/hr</v>
      </c>
      <c r="D130" s="54">
        <f t="shared" si="0"/>
        <v>0</v>
      </c>
      <c r="E130" s="54">
        <f t="shared" si="1"/>
        <v>0</v>
      </c>
      <c r="F130" s="54">
        <f t="shared" si="2"/>
        <v>0</v>
      </c>
      <c r="G130" s="54">
        <f t="shared" si="3"/>
        <v>0</v>
      </c>
      <c r="H130" s="54">
        <f t="shared" si="4"/>
        <v>0</v>
      </c>
      <c r="I130" s="54">
        <f t="shared" si="5"/>
        <v>0</v>
      </c>
      <c r="J130" s="54">
        <f t="shared" si="6"/>
        <v>0</v>
      </c>
      <c r="K130" s="54">
        <f t="shared" si="7"/>
        <v>0</v>
      </c>
      <c r="L130" s="54">
        <f t="shared" si="8"/>
        <v>0</v>
      </c>
      <c r="M130" s="54">
        <f t="shared" si="9"/>
        <v>1392.0025000000001</v>
      </c>
      <c r="N130" s="68">
        <f t="shared" si="10"/>
        <v>0</v>
      </c>
    </row>
    <row r="131" spans="2:14">
      <c r="B131" s="65" t="str">
        <f t="shared" si="0"/>
        <v>Mole Fractions</v>
      </c>
      <c r="C131" s="55"/>
      <c r="D131" s="53"/>
      <c r="E131" s="53"/>
      <c r="F131" s="53"/>
      <c r="G131" s="53"/>
      <c r="H131" s="53"/>
      <c r="I131" s="54"/>
      <c r="J131" s="54"/>
      <c r="K131" s="54"/>
      <c r="L131" s="54"/>
      <c r="M131" s="54"/>
      <c r="N131" s="68"/>
    </row>
    <row r="132" spans="2:14">
      <c r="B132" s="67" t="str">
        <f t="shared" si="0"/>
        <v>H2</v>
      </c>
      <c r="C132" s="56"/>
      <c r="D132" s="57">
        <f t="shared" si="0"/>
        <v>0</v>
      </c>
      <c r="E132" s="57">
        <f t="shared" si="1"/>
        <v>0</v>
      </c>
      <c r="F132" s="57">
        <f t="shared" si="2"/>
        <v>0.814821039726359</v>
      </c>
      <c r="G132" s="57">
        <f t="shared" si="3"/>
        <v>0.85398234671434803</v>
      </c>
      <c r="H132" s="57">
        <f t="shared" si="4"/>
        <v>4.8564991086507399E-13</v>
      </c>
      <c r="I132" s="57">
        <f t="shared" si="5"/>
        <v>8.0803130370403003E-43</v>
      </c>
      <c r="J132" s="57">
        <f t="shared" ref="J132:J156" si="11">O72</f>
        <v>5.9815184262254203E-3</v>
      </c>
      <c r="K132" s="57">
        <f t="shared" si="7"/>
        <v>3.9449528844618298E-10</v>
      </c>
      <c r="L132" s="57">
        <f t="shared" si="8"/>
        <v>0.96418773790093004</v>
      </c>
      <c r="M132" s="57">
        <f t="shared" si="9"/>
        <v>0</v>
      </c>
      <c r="N132" s="69">
        <f t="shared" si="10"/>
        <v>0</v>
      </c>
    </row>
    <row r="133" spans="2:14">
      <c r="B133" s="67" t="str">
        <f t="shared" si="0"/>
        <v>CH4</v>
      </c>
      <c r="C133" s="56"/>
      <c r="D133" s="57">
        <f t="shared" si="0"/>
        <v>1</v>
      </c>
      <c r="E133" s="57">
        <f t="shared" si="1"/>
        <v>0</v>
      </c>
      <c r="F133" s="57">
        <f t="shared" si="2"/>
        <v>0.183336570365879</v>
      </c>
      <c r="G133" s="57">
        <f t="shared" si="3"/>
        <v>0.12247148292839299</v>
      </c>
      <c r="H133" s="57">
        <f t="shared" si="4"/>
        <v>1.9882538870566501E-4</v>
      </c>
      <c r="I133" s="57">
        <f t="shared" si="5"/>
        <v>4.20538768342083E-18</v>
      </c>
      <c r="J133" s="57">
        <f t="shared" si="11"/>
        <v>5.7866986498584204E-3</v>
      </c>
      <c r="K133" s="57">
        <f t="shared" si="7"/>
        <v>5.1457476767525798E-8</v>
      </c>
      <c r="L133" s="57">
        <f t="shared" si="8"/>
        <v>3.58034148468152E-2</v>
      </c>
      <c r="M133" s="57">
        <f t="shared" si="9"/>
        <v>0</v>
      </c>
      <c r="N133" s="69">
        <f t="shared" si="10"/>
        <v>0</v>
      </c>
    </row>
    <row r="134" spans="2:14">
      <c r="B134" s="67" t="str">
        <f t="shared" si="0"/>
        <v>C2H6</v>
      </c>
      <c r="C134" s="56"/>
      <c r="D134" s="57">
        <f t="shared" si="0"/>
        <v>0</v>
      </c>
      <c r="E134" s="57">
        <f t="shared" si="1"/>
        <v>0</v>
      </c>
      <c r="F134" s="57">
        <f t="shared" si="2"/>
        <v>1.73785833923153E-5</v>
      </c>
      <c r="G134" s="57">
        <f t="shared" si="3"/>
        <v>5.4596538757530901E-4</v>
      </c>
      <c r="H134" s="57">
        <f t="shared" si="4"/>
        <v>4.3509669566632602E-16</v>
      </c>
      <c r="I134" s="57">
        <f t="shared" si="5"/>
        <v>4.55880778741833E-2</v>
      </c>
      <c r="J134" s="57">
        <f t="shared" si="11"/>
        <v>1.81134453043486E-4</v>
      </c>
      <c r="K134" s="57">
        <f t="shared" si="7"/>
        <v>7.3864800478124197E-7</v>
      </c>
      <c r="L134" s="57">
        <f t="shared" si="8"/>
        <v>1.6048357062386101E-8</v>
      </c>
      <c r="M134" s="57">
        <f t="shared" si="9"/>
        <v>0</v>
      </c>
      <c r="N134" s="69">
        <f t="shared" si="10"/>
        <v>0</v>
      </c>
    </row>
    <row r="135" spans="2:14">
      <c r="B135" s="67" t="str">
        <f t="shared" si="0"/>
        <v>C2H4</v>
      </c>
      <c r="C135" s="56"/>
      <c r="D135" s="57">
        <f t="shared" si="0"/>
        <v>0</v>
      </c>
      <c r="E135" s="57">
        <f t="shared" si="1"/>
        <v>0</v>
      </c>
      <c r="F135" s="57">
        <f t="shared" si="2"/>
        <v>1.5248469603628501E-3</v>
      </c>
      <c r="G135" s="57">
        <f t="shared" si="3"/>
        <v>1.08518848035232E-2</v>
      </c>
      <c r="H135" s="57">
        <f t="shared" si="4"/>
        <v>0.99860001337212201</v>
      </c>
      <c r="I135" s="57">
        <f t="shared" si="5"/>
        <v>8.0762414693266596E-4</v>
      </c>
      <c r="J135" s="57">
        <f t="shared" si="11"/>
        <v>2.41398427255326E-3</v>
      </c>
      <c r="K135" s="57">
        <f t="shared" si="7"/>
        <v>2.5746367511804399E-6</v>
      </c>
      <c r="L135" s="57">
        <f t="shared" si="8"/>
        <v>8.6457570398917097E-6</v>
      </c>
      <c r="M135" s="57">
        <f t="shared" si="9"/>
        <v>0</v>
      </c>
      <c r="N135" s="69">
        <f t="shared" si="10"/>
        <v>0</v>
      </c>
    </row>
    <row r="136" spans="2:14">
      <c r="B136" s="67" t="str">
        <f t="shared" si="0"/>
        <v>C2H2</v>
      </c>
      <c r="C136" s="56"/>
      <c r="D136" s="57">
        <f t="shared" si="0"/>
        <v>0</v>
      </c>
      <c r="E136" s="57">
        <f t="shared" si="1"/>
        <v>0</v>
      </c>
      <c r="F136" s="57">
        <f t="shared" si="2"/>
        <v>3.0016436238437002E-4</v>
      </c>
      <c r="G136" s="57">
        <f t="shared" si="3"/>
        <v>1.1340092540417301E-2</v>
      </c>
      <c r="H136" s="57">
        <f t="shared" si="4"/>
        <v>1.2011612386860599E-3</v>
      </c>
      <c r="I136" s="57">
        <f t="shared" si="5"/>
        <v>0.95099668176893903</v>
      </c>
      <c r="J136" s="57">
        <f t="shared" si="11"/>
        <v>4.22074538220003E-3</v>
      </c>
      <c r="K136" s="57">
        <f t="shared" si="7"/>
        <v>3.1809353654008998E-5</v>
      </c>
      <c r="L136" s="57">
        <f t="shared" si="8"/>
        <v>1.85446858038415E-7</v>
      </c>
      <c r="M136" s="57">
        <f t="shared" si="9"/>
        <v>0</v>
      </c>
      <c r="N136" s="69">
        <f t="shared" si="10"/>
        <v>0</v>
      </c>
    </row>
    <row r="137" spans="2:14">
      <c r="B137" s="67" t="str">
        <f t="shared" si="0"/>
        <v>C3-C5</v>
      </c>
      <c r="C137" s="56"/>
      <c r="D137" s="57">
        <f t="shared" si="0"/>
        <v>0</v>
      </c>
      <c r="E137" s="57">
        <f t="shared" si="1"/>
        <v>0</v>
      </c>
      <c r="F137" s="57">
        <f t="shared" si="2"/>
        <v>0</v>
      </c>
      <c r="G137" s="57">
        <f t="shared" si="3"/>
        <v>0</v>
      </c>
      <c r="H137" s="57">
        <f t="shared" si="4"/>
        <v>0</v>
      </c>
      <c r="I137" s="57">
        <f t="shared" si="5"/>
        <v>0</v>
      </c>
      <c r="J137" s="57">
        <f t="shared" si="11"/>
        <v>0</v>
      </c>
      <c r="K137" s="57">
        <f t="shared" si="7"/>
        <v>0</v>
      </c>
      <c r="L137" s="57">
        <f t="shared" si="8"/>
        <v>0</v>
      </c>
      <c r="M137" s="57">
        <f t="shared" si="9"/>
        <v>0</v>
      </c>
      <c r="N137" s="69">
        <f t="shared" si="10"/>
        <v>0</v>
      </c>
    </row>
    <row r="138" spans="2:14">
      <c r="B138" s="67" t="str">
        <f t="shared" ref="B138:D157" si="12">B78</f>
        <v>BEN</v>
      </c>
      <c r="C138" s="56"/>
      <c r="D138" s="57">
        <f t="shared" si="12"/>
        <v>0</v>
      </c>
      <c r="E138" s="57">
        <f t="shared" si="1"/>
        <v>0</v>
      </c>
      <c r="F138" s="57">
        <f t="shared" si="2"/>
        <v>1.6217986875306001E-12</v>
      </c>
      <c r="G138" s="57">
        <f t="shared" si="3"/>
        <v>6.6534291769818304E-4</v>
      </c>
      <c r="H138" s="57">
        <f t="shared" si="4"/>
        <v>2.42258785686542E-242</v>
      </c>
      <c r="I138" s="57">
        <f t="shared" si="5"/>
        <v>2.60761342233921E-3</v>
      </c>
      <c r="J138" s="57">
        <f t="shared" si="11"/>
        <v>6.4111801732517806E-2</v>
      </c>
      <c r="K138" s="57">
        <f t="shared" si="7"/>
        <v>0.99399585229074505</v>
      </c>
      <c r="L138" s="57">
        <f t="shared" si="8"/>
        <v>3.8290607423090302E-22</v>
      </c>
      <c r="M138" s="57">
        <f t="shared" si="9"/>
        <v>0</v>
      </c>
      <c r="N138" s="69">
        <f t="shared" si="10"/>
        <v>0</v>
      </c>
    </row>
    <row r="139" spans="2:14">
      <c r="B139" s="67" t="str">
        <f t="shared" si="12"/>
        <v>NAP</v>
      </c>
      <c r="C139" s="56"/>
      <c r="D139" s="57">
        <f t="shared" si="12"/>
        <v>0</v>
      </c>
      <c r="E139" s="57">
        <f t="shared" si="1"/>
        <v>0</v>
      </c>
      <c r="F139" s="57">
        <f t="shared" si="2"/>
        <v>8.1622624610254395E-62</v>
      </c>
      <c r="G139" s="57">
        <f t="shared" si="3"/>
        <v>1.4288470804496499E-4</v>
      </c>
      <c r="H139" s="57">
        <f t="shared" si="4"/>
        <v>0</v>
      </c>
      <c r="I139" s="57">
        <f t="shared" si="5"/>
        <v>2.7876057006265301E-9</v>
      </c>
      <c r="J139" s="57">
        <f t="shared" si="11"/>
        <v>0.91730411708360204</v>
      </c>
      <c r="K139" s="57">
        <f t="shared" si="7"/>
        <v>5.96897321887329E-3</v>
      </c>
      <c r="L139" s="57">
        <f t="shared" si="8"/>
        <v>0</v>
      </c>
      <c r="M139" s="57">
        <f t="shared" si="9"/>
        <v>0</v>
      </c>
      <c r="N139" s="69">
        <f t="shared" si="10"/>
        <v>0</v>
      </c>
    </row>
    <row r="140" spans="2:14">
      <c r="B140" s="67" t="str">
        <f t="shared" si="12"/>
        <v>C</v>
      </c>
      <c r="C140" s="56"/>
      <c r="D140" s="57">
        <f t="shared" si="12"/>
        <v>0</v>
      </c>
      <c r="E140" s="57">
        <f t="shared" si="1"/>
        <v>0</v>
      </c>
      <c r="F140" s="57">
        <f t="shared" si="2"/>
        <v>0</v>
      </c>
      <c r="G140" s="57">
        <f t="shared" si="3"/>
        <v>0</v>
      </c>
      <c r="H140" s="57">
        <f t="shared" si="4"/>
        <v>0</v>
      </c>
      <c r="I140" s="57">
        <f t="shared" si="5"/>
        <v>0</v>
      </c>
      <c r="J140" s="57">
        <f t="shared" si="11"/>
        <v>0</v>
      </c>
      <c r="K140" s="57">
        <f t="shared" si="7"/>
        <v>0</v>
      </c>
      <c r="L140" s="57">
        <f t="shared" si="8"/>
        <v>0</v>
      </c>
      <c r="M140" s="57">
        <f t="shared" si="9"/>
        <v>0</v>
      </c>
      <c r="N140" s="69">
        <f t="shared" si="10"/>
        <v>1</v>
      </c>
    </row>
    <row r="141" spans="2:14">
      <c r="B141" s="67" t="str">
        <f t="shared" si="12"/>
        <v>WATER</v>
      </c>
      <c r="C141" s="56"/>
      <c r="D141" s="57">
        <f t="shared" si="12"/>
        <v>0</v>
      </c>
      <c r="E141" s="57">
        <f t="shared" si="1"/>
        <v>0</v>
      </c>
      <c r="F141" s="57">
        <f t="shared" si="2"/>
        <v>0</v>
      </c>
      <c r="G141" s="57">
        <f t="shared" si="3"/>
        <v>0</v>
      </c>
      <c r="H141" s="57">
        <f t="shared" si="4"/>
        <v>0</v>
      </c>
      <c r="I141" s="57">
        <f t="shared" si="5"/>
        <v>0</v>
      </c>
      <c r="J141" s="57">
        <f t="shared" si="11"/>
        <v>0</v>
      </c>
      <c r="K141" s="57">
        <f t="shared" si="7"/>
        <v>0</v>
      </c>
      <c r="L141" s="57">
        <f t="shared" si="8"/>
        <v>0</v>
      </c>
      <c r="M141" s="57">
        <f t="shared" si="9"/>
        <v>0</v>
      </c>
      <c r="N141" s="69">
        <f t="shared" si="10"/>
        <v>0</v>
      </c>
    </row>
    <row r="142" spans="2:14">
      <c r="B142" s="67" t="str">
        <f t="shared" si="12"/>
        <v>O2</v>
      </c>
      <c r="C142" s="56"/>
      <c r="D142" s="57">
        <f t="shared" si="12"/>
        <v>0</v>
      </c>
      <c r="E142" s="57">
        <f t="shared" si="1"/>
        <v>1</v>
      </c>
      <c r="F142" s="57">
        <f t="shared" si="2"/>
        <v>0</v>
      </c>
      <c r="G142" s="57">
        <f t="shared" si="3"/>
        <v>0</v>
      </c>
      <c r="H142" s="57">
        <f t="shared" si="4"/>
        <v>0</v>
      </c>
      <c r="I142" s="57">
        <f t="shared" si="5"/>
        <v>0</v>
      </c>
      <c r="J142" s="57">
        <f t="shared" si="11"/>
        <v>0</v>
      </c>
      <c r="K142" s="57">
        <f t="shared" si="7"/>
        <v>0</v>
      </c>
      <c r="L142" s="57">
        <f t="shared" si="8"/>
        <v>0</v>
      </c>
      <c r="M142" s="57">
        <f t="shared" si="9"/>
        <v>5.7125000000000101E-3</v>
      </c>
      <c r="N142" s="69">
        <f t="shared" si="10"/>
        <v>0</v>
      </c>
    </row>
    <row r="143" spans="2:14">
      <c r="B143" s="67" t="str">
        <f t="shared" si="12"/>
        <v>CO2</v>
      </c>
      <c r="C143" s="56"/>
      <c r="D143" s="57">
        <f t="shared" si="12"/>
        <v>0</v>
      </c>
      <c r="E143" s="57">
        <f t="shared" si="1"/>
        <v>0</v>
      </c>
      <c r="F143" s="57">
        <f t="shared" si="2"/>
        <v>0</v>
      </c>
      <c r="G143" s="57">
        <f t="shared" si="3"/>
        <v>0</v>
      </c>
      <c r="H143" s="57">
        <f t="shared" si="4"/>
        <v>0</v>
      </c>
      <c r="I143" s="57">
        <f t="shared" si="5"/>
        <v>0</v>
      </c>
      <c r="J143" s="57">
        <f t="shared" si="11"/>
        <v>0</v>
      </c>
      <c r="K143" s="57">
        <f t="shared" si="7"/>
        <v>0</v>
      </c>
      <c r="L143" s="57">
        <f t="shared" si="8"/>
        <v>0</v>
      </c>
      <c r="M143" s="57">
        <f t="shared" si="9"/>
        <v>0.99428749999999999</v>
      </c>
      <c r="N143" s="69">
        <f t="shared" si="10"/>
        <v>0</v>
      </c>
    </row>
    <row r="144" spans="2:14">
      <c r="B144" s="65" t="str">
        <f t="shared" si="12"/>
        <v>Mass Flows</v>
      </c>
      <c r="C144" s="52" t="str">
        <f t="shared" si="12"/>
        <v>kg/hr</v>
      </c>
      <c r="D144" s="53">
        <f t="shared" si="12"/>
        <v>211552.667568</v>
      </c>
      <c r="E144" s="53">
        <f t="shared" si="1"/>
        <v>44798.32</v>
      </c>
      <c r="F144" s="53">
        <f t="shared" si="2"/>
        <v>1028831.73369842</v>
      </c>
      <c r="G144" s="53">
        <f t="shared" si="3"/>
        <v>1012012.4587809</v>
      </c>
      <c r="H144" s="53">
        <f t="shared" si="4"/>
        <v>60867.666647693899</v>
      </c>
      <c r="I144" s="53">
        <f t="shared" si="5"/>
        <v>70796.472034733597</v>
      </c>
      <c r="J144" s="53">
        <f t="shared" si="11"/>
        <v>4312.9737713518198</v>
      </c>
      <c r="K144" s="53">
        <f t="shared" si="7"/>
        <v>11415.9923572681</v>
      </c>
      <c r="L144" s="53">
        <f t="shared" si="8"/>
        <v>43795.087365572603</v>
      </c>
      <c r="M144" s="53">
        <f t="shared" si="9"/>
        <v>61517.662027500199</v>
      </c>
      <c r="N144" s="68">
        <f t="shared" si="10"/>
        <v>16719.342027499999</v>
      </c>
    </row>
    <row r="145" spans="2:14">
      <c r="B145" s="67" t="str">
        <f t="shared" si="12"/>
        <v>H2</v>
      </c>
      <c r="C145" s="50" t="str">
        <f t="shared" si="12"/>
        <v>kg/hr</v>
      </c>
      <c r="D145" s="54">
        <f t="shared" si="12"/>
        <v>0</v>
      </c>
      <c r="E145" s="54">
        <f t="shared" si="1"/>
        <v>0</v>
      </c>
      <c r="F145" s="54">
        <f t="shared" si="2"/>
        <v>364610.22019186302</v>
      </c>
      <c r="G145" s="54">
        <f t="shared" si="3"/>
        <v>398426.25792997202</v>
      </c>
      <c r="H145" s="54">
        <f t="shared" si="4"/>
        <v>2.1245063170851999E-9</v>
      </c>
      <c r="I145" s="54">
        <f t="shared" si="5"/>
        <v>4.3749577948269799E-39</v>
      </c>
      <c r="J145" s="54">
        <f t="shared" si="11"/>
        <v>0.423259636634224</v>
      </c>
      <c r="K145" s="54">
        <f t="shared" si="7"/>
        <v>1.15783125066375E-7</v>
      </c>
      <c r="L145" s="54">
        <f t="shared" si="8"/>
        <v>33801.869730334198</v>
      </c>
      <c r="M145" s="54">
        <f t="shared" si="9"/>
        <v>0</v>
      </c>
      <c r="N145" s="68">
        <f t="shared" si="10"/>
        <v>0</v>
      </c>
    </row>
    <row r="146" spans="2:14">
      <c r="B146" s="67" t="str">
        <f t="shared" si="12"/>
        <v>CH4</v>
      </c>
      <c r="C146" s="50" t="str">
        <f t="shared" si="12"/>
        <v>kg/hr</v>
      </c>
      <c r="D146" s="54">
        <f t="shared" si="12"/>
        <v>211552.667568</v>
      </c>
      <c r="E146" s="54">
        <f t="shared" si="1"/>
        <v>0</v>
      </c>
      <c r="F146" s="54">
        <f t="shared" si="2"/>
        <v>652875.11696004798</v>
      </c>
      <c r="G146" s="54">
        <f t="shared" si="3"/>
        <v>454724.59638074</v>
      </c>
      <c r="H146" s="54">
        <f t="shared" si="4"/>
        <v>6.9218305596724301</v>
      </c>
      <c r="I146" s="54">
        <f t="shared" si="5"/>
        <v>1.81203311657611E-13</v>
      </c>
      <c r="J146" s="54">
        <f t="shared" si="11"/>
        <v>3.2586722828767098</v>
      </c>
      <c r="K146" s="54">
        <f t="shared" si="7"/>
        <v>1.20189448836764E-4</v>
      </c>
      <c r="L146" s="54">
        <f t="shared" si="8"/>
        <v>9988.9072509559301</v>
      </c>
      <c r="M146" s="54">
        <f t="shared" si="9"/>
        <v>0</v>
      </c>
      <c r="N146" s="68">
        <f t="shared" si="10"/>
        <v>0</v>
      </c>
    </row>
    <row r="147" spans="2:14">
      <c r="B147" s="67" t="str">
        <f t="shared" si="12"/>
        <v>C2H6</v>
      </c>
      <c r="C147" s="50" t="str">
        <f t="shared" si="12"/>
        <v>kg/hr</v>
      </c>
      <c r="D147" s="54">
        <f t="shared" si="12"/>
        <v>0</v>
      </c>
      <c r="E147" s="54">
        <f t="shared" si="1"/>
        <v>0</v>
      </c>
      <c r="F147" s="54">
        <f t="shared" si="2"/>
        <v>115.996404618079</v>
      </c>
      <c r="G147" s="54">
        <f t="shared" si="3"/>
        <v>3799.5111434147002</v>
      </c>
      <c r="H147" s="54">
        <f t="shared" si="4"/>
        <v>2.83912197380485E-11</v>
      </c>
      <c r="I147" s="54">
        <f t="shared" si="5"/>
        <v>3681.8027330077098</v>
      </c>
      <c r="J147" s="54">
        <f t="shared" si="11"/>
        <v>0.191187734227102</v>
      </c>
      <c r="K147" s="54">
        <f t="shared" si="7"/>
        <v>3.2337357518771098E-3</v>
      </c>
      <c r="L147" s="54">
        <f t="shared" si="8"/>
        <v>8.3921502490195508E-3</v>
      </c>
      <c r="M147" s="54">
        <f t="shared" si="9"/>
        <v>0</v>
      </c>
      <c r="N147" s="68">
        <f t="shared" si="10"/>
        <v>0</v>
      </c>
    </row>
    <row r="148" spans="2:14">
      <c r="B148" s="67" t="str">
        <f t="shared" si="12"/>
        <v>C2H4</v>
      </c>
      <c r="C148" s="50" t="str">
        <f t="shared" si="12"/>
        <v>kg/hr</v>
      </c>
      <c r="D148" s="54">
        <f t="shared" si="12"/>
        <v>0</v>
      </c>
      <c r="E148" s="54">
        <f t="shared" si="1"/>
        <v>0</v>
      </c>
      <c r="F148" s="54">
        <f t="shared" si="2"/>
        <v>9495.5311530729705</v>
      </c>
      <c r="G148" s="54">
        <f t="shared" si="3"/>
        <v>70458.052584198405</v>
      </c>
      <c r="H148" s="54">
        <f t="shared" si="4"/>
        <v>60792.874954912302</v>
      </c>
      <c r="I148" s="54">
        <f t="shared" si="5"/>
        <v>60.852913797074102</v>
      </c>
      <c r="J148" s="54">
        <f t="shared" si="11"/>
        <v>2.3771481408673898</v>
      </c>
      <c r="K148" s="54">
        <f t="shared" si="7"/>
        <v>1.0515884609507999E-2</v>
      </c>
      <c r="L148" s="54">
        <f t="shared" si="8"/>
        <v>4.2180191562757798</v>
      </c>
      <c r="M148" s="54">
        <f t="shared" si="9"/>
        <v>0</v>
      </c>
      <c r="N148" s="68">
        <f t="shared" si="10"/>
        <v>0</v>
      </c>
    </row>
    <row r="149" spans="2:14">
      <c r="B149" s="67" t="str">
        <f t="shared" si="12"/>
        <v>C2H2</v>
      </c>
      <c r="C149" s="50" t="str">
        <f t="shared" si="12"/>
        <v>kg/hr</v>
      </c>
      <c r="D149" s="54">
        <f t="shared" si="12"/>
        <v>0</v>
      </c>
      <c r="E149" s="54">
        <f t="shared" si="1"/>
        <v>0</v>
      </c>
      <c r="F149" s="54">
        <f t="shared" si="2"/>
        <v>1734.86896070136</v>
      </c>
      <c r="G149" s="54">
        <f t="shared" si="3"/>
        <v>68337.109143462207</v>
      </c>
      <c r="H149" s="54">
        <f t="shared" si="4"/>
        <v>67.869862219791401</v>
      </c>
      <c r="I149" s="54">
        <f t="shared" si="5"/>
        <v>66506.735111984206</v>
      </c>
      <c r="J149" s="54">
        <f t="shared" si="11"/>
        <v>3.8576738654275502</v>
      </c>
      <c r="K149" s="54">
        <f t="shared" si="7"/>
        <v>0.12058665165566899</v>
      </c>
      <c r="L149" s="54">
        <f t="shared" si="8"/>
        <v>8.3972975893651505E-2</v>
      </c>
      <c r="M149" s="54">
        <f t="shared" si="9"/>
        <v>0</v>
      </c>
      <c r="N149" s="68">
        <f t="shared" si="10"/>
        <v>0</v>
      </c>
    </row>
    <row r="150" spans="2:14">
      <c r="B150" s="67" t="str">
        <f t="shared" si="12"/>
        <v>C3-C5</v>
      </c>
      <c r="C150" s="50" t="str">
        <f t="shared" si="12"/>
        <v>kg/hr</v>
      </c>
      <c r="D150" s="54">
        <f t="shared" si="12"/>
        <v>0</v>
      </c>
      <c r="E150" s="54">
        <f t="shared" ref="E150:E170" si="13">AZ90</f>
        <v>0</v>
      </c>
      <c r="F150" s="54">
        <f t="shared" ref="F150:F170" si="14">I90</f>
        <v>0</v>
      </c>
      <c r="G150" s="54">
        <f t="shared" ref="G150:G170" si="15">J90</f>
        <v>0</v>
      </c>
      <c r="H150" s="54">
        <f t="shared" ref="H150:H170" si="16">AD90</f>
        <v>0</v>
      </c>
      <c r="I150" s="54">
        <f t="shared" ref="I150:I170" si="17">AE90</f>
        <v>0</v>
      </c>
      <c r="J150" s="54">
        <f t="shared" si="11"/>
        <v>0</v>
      </c>
      <c r="K150" s="54">
        <f t="shared" ref="K150:K170" si="18">W90</f>
        <v>0</v>
      </c>
      <c r="L150" s="54">
        <f t="shared" ref="L150:L170" si="19">AN90</f>
        <v>0</v>
      </c>
      <c r="M150" s="54">
        <f t="shared" ref="M150:M170" si="20">BD90</f>
        <v>0</v>
      </c>
      <c r="N150" s="68">
        <f t="shared" ref="N150:N170" si="21">AY90</f>
        <v>0</v>
      </c>
    </row>
    <row r="151" spans="2:14">
      <c r="B151" s="67" t="str">
        <f t="shared" si="12"/>
        <v>BEN</v>
      </c>
      <c r="C151" s="50" t="str">
        <f t="shared" si="12"/>
        <v>kg/hr</v>
      </c>
      <c r="D151" s="54">
        <f t="shared" si="12"/>
        <v>0</v>
      </c>
      <c r="E151" s="54">
        <f t="shared" si="13"/>
        <v>0</v>
      </c>
      <c r="F151" s="54">
        <f t="shared" si="14"/>
        <v>2.8120675430817401E-5</v>
      </c>
      <c r="G151" s="54">
        <f t="shared" si="15"/>
        <v>12028.3705152808</v>
      </c>
      <c r="H151" s="54">
        <f t="shared" si="16"/>
        <v>4.1065437036743099E-237</v>
      </c>
      <c r="I151" s="54">
        <f t="shared" si="17"/>
        <v>547.080316299478</v>
      </c>
      <c r="J151" s="54">
        <f t="shared" si="11"/>
        <v>175.79057698104401</v>
      </c>
      <c r="K151" s="54">
        <f t="shared" si="18"/>
        <v>11304.4703351516</v>
      </c>
      <c r="L151" s="54">
        <f t="shared" si="19"/>
        <v>5.20155955420885E-16</v>
      </c>
      <c r="M151" s="54">
        <f t="shared" si="20"/>
        <v>0</v>
      </c>
      <c r="N151" s="68">
        <f t="shared" si="21"/>
        <v>0</v>
      </c>
    </row>
    <row r="152" spans="2:14">
      <c r="B152" s="67" t="str">
        <f t="shared" si="12"/>
        <v>NAP</v>
      </c>
      <c r="C152" s="50" t="str">
        <f t="shared" si="12"/>
        <v>kg/hr</v>
      </c>
      <c r="D152" s="54">
        <f t="shared" si="12"/>
        <v>0</v>
      </c>
      <c r="E152" s="54">
        <f t="shared" si="13"/>
        <v>0</v>
      </c>
      <c r="F152" s="54">
        <f t="shared" si="14"/>
        <v>2.32225974659644E-54</v>
      </c>
      <c r="G152" s="54">
        <f t="shared" si="15"/>
        <v>4238.5610838294897</v>
      </c>
      <c r="H152" s="54">
        <f t="shared" si="16"/>
        <v>0</v>
      </c>
      <c r="I152" s="54">
        <f t="shared" si="17"/>
        <v>9.59645124082786E-4</v>
      </c>
      <c r="J152" s="54">
        <f t="shared" si="11"/>
        <v>4127.0752527107397</v>
      </c>
      <c r="K152" s="54">
        <f t="shared" si="18"/>
        <v>111.3875655392</v>
      </c>
      <c r="L152" s="54">
        <f t="shared" si="19"/>
        <v>0</v>
      </c>
      <c r="M152" s="54">
        <f t="shared" si="20"/>
        <v>0</v>
      </c>
      <c r="N152" s="68">
        <f t="shared" si="21"/>
        <v>0</v>
      </c>
    </row>
    <row r="153" spans="2:14">
      <c r="B153" s="67" t="str">
        <f t="shared" si="12"/>
        <v>C</v>
      </c>
      <c r="C153" s="50" t="str">
        <f t="shared" si="12"/>
        <v>kg/hr</v>
      </c>
      <c r="D153" s="54">
        <f t="shared" si="12"/>
        <v>0</v>
      </c>
      <c r="E153" s="54">
        <f t="shared" si="13"/>
        <v>0</v>
      </c>
      <c r="F153" s="54">
        <f t="shared" si="14"/>
        <v>0</v>
      </c>
      <c r="G153" s="54">
        <f t="shared" si="15"/>
        <v>0</v>
      </c>
      <c r="H153" s="54">
        <f t="shared" si="16"/>
        <v>0</v>
      </c>
      <c r="I153" s="54">
        <f t="shared" si="17"/>
        <v>0</v>
      </c>
      <c r="J153" s="54">
        <f t="shared" si="11"/>
        <v>0</v>
      </c>
      <c r="K153" s="54">
        <f t="shared" si="18"/>
        <v>0</v>
      </c>
      <c r="L153" s="54">
        <f t="shared" si="19"/>
        <v>0</v>
      </c>
      <c r="M153" s="54">
        <f t="shared" si="20"/>
        <v>0</v>
      </c>
      <c r="N153" s="68">
        <f t="shared" si="21"/>
        <v>16719.342027499999</v>
      </c>
    </row>
    <row r="154" spans="2:14">
      <c r="B154" s="67" t="str">
        <f t="shared" si="12"/>
        <v>WATER</v>
      </c>
      <c r="C154" s="50" t="str">
        <f t="shared" si="12"/>
        <v>kg/hr</v>
      </c>
      <c r="D154" s="54">
        <f t="shared" si="12"/>
        <v>0</v>
      </c>
      <c r="E154" s="54">
        <f t="shared" si="13"/>
        <v>0</v>
      </c>
      <c r="F154" s="54">
        <f t="shared" si="14"/>
        <v>0</v>
      </c>
      <c r="G154" s="54">
        <f t="shared" si="15"/>
        <v>0</v>
      </c>
      <c r="H154" s="54">
        <f t="shared" si="16"/>
        <v>0</v>
      </c>
      <c r="I154" s="54">
        <f t="shared" si="17"/>
        <v>0</v>
      </c>
      <c r="J154" s="54">
        <f t="shared" si="11"/>
        <v>0</v>
      </c>
      <c r="K154" s="54">
        <f t="shared" si="18"/>
        <v>0</v>
      </c>
      <c r="L154" s="54">
        <f t="shared" si="19"/>
        <v>0</v>
      </c>
      <c r="M154" s="54">
        <f t="shared" si="20"/>
        <v>0</v>
      </c>
      <c r="N154" s="68">
        <f t="shared" si="21"/>
        <v>0</v>
      </c>
    </row>
    <row r="155" spans="2:14">
      <c r="B155" s="67" t="str">
        <f t="shared" si="12"/>
        <v>O2</v>
      </c>
      <c r="C155" s="50" t="str">
        <f t="shared" si="12"/>
        <v>kg/hr</v>
      </c>
      <c r="D155" s="54">
        <f t="shared" si="12"/>
        <v>0</v>
      </c>
      <c r="E155" s="54">
        <f t="shared" si="13"/>
        <v>44798.32</v>
      </c>
      <c r="F155" s="54">
        <f t="shared" si="14"/>
        <v>0</v>
      </c>
      <c r="G155" s="54">
        <f t="shared" si="15"/>
        <v>0</v>
      </c>
      <c r="H155" s="54">
        <f t="shared" si="16"/>
        <v>0</v>
      </c>
      <c r="I155" s="54">
        <f t="shared" si="17"/>
        <v>0</v>
      </c>
      <c r="J155" s="54">
        <f t="shared" si="11"/>
        <v>0</v>
      </c>
      <c r="K155" s="54">
        <f t="shared" si="18"/>
        <v>0</v>
      </c>
      <c r="L155" s="54">
        <f t="shared" si="19"/>
        <v>0</v>
      </c>
      <c r="M155" s="54">
        <f t="shared" si="20"/>
        <v>255.91040300000199</v>
      </c>
      <c r="N155" s="68">
        <f t="shared" si="21"/>
        <v>0</v>
      </c>
    </row>
    <row r="156" spans="2:14">
      <c r="B156" s="67" t="str">
        <f t="shared" si="12"/>
        <v>CO2</v>
      </c>
      <c r="C156" s="50" t="str">
        <f t="shared" si="12"/>
        <v>kg/hr</v>
      </c>
      <c r="D156" s="54">
        <f t="shared" si="12"/>
        <v>0</v>
      </c>
      <c r="E156" s="54">
        <f t="shared" si="13"/>
        <v>0</v>
      </c>
      <c r="F156" s="54">
        <f t="shared" si="14"/>
        <v>0</v>
      </c>
      <c r="G156" s="54">
        <f t="shared" si="15"/>
        <v>0</v>
      </c>
      <c r="H156" s="54">
        <f t="shared" si="16"/>
        <v>0</v>
      </c>
      <c r="I156" s="54">
        <f t="shared" si="17"/>
        <v>0</v>
      </c>
      <c r="J156" s="54">
        <f t="shared" si="11"/>
        <v>0</v>
      </c>
      <c r="K156" s="54">
        <f t="shared" si="18"/>
        <v>0</v>
      </c>
      <c r="L156" s="54">
        <f t="shared" si="19"/>
        <v>0</v>
      </c>
      <c r="M156" s="54">
        <f t="shared" si="20"/>
        <v>61261.751624500197</v>
      </c>
      <c r="N156" s="68">
        <f t="shared" si="21"/>
        <v>0</v>
      </c>
    </row>
    <row r="157" spans="2:14">
      <c r="B157" s="65" t="str">
        <f t="shared" si="12"/>
        <v>Mass Fractions</v>
      </c>
      <c r="C157" s="50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68"/>
    </row>
    <row r="158" spans="2:14">
      <c r="B158" s="67" t="str">
        <f t="shared" ref="B158:D170" si="22">B98</f>
        <v>H2</v>
      </c>
      <c r="C158" s="50"/>
      <c r="D158" s="57">
        <f t="shared" si="22"/>
        <v>0</v>
      </c>
      <c r="E158" s="57">
        <f t="shared" si="13"/>
        <v>0</v>
      </c>
      <c r="F158" s="57">
        <f t="shared" si="14"/>
        <v>0.35439247084765702</v>
      </c>
      <c r="G158" s="57">
        <f t="shared" si="15"/>
        <v>0.393696989076527</v>
      </c>
      <c r="H158" s="57">
        <f t="shared" si="16"/>
        <v>3.4903692454353103E-14</v>
      </c>
      <c r="I158" s="57">
        <f t="shared" si="17"/>
        <v>6.1796268501636201E-44</v>
      </c>
      <c r="J158" s="57">
        <f t="shared" ref="J158:J170" si="23">O98</f>
        <v>9.8136380852963394E-5</v>
      </c>
      <c r="K158" s="57">
        <f t="shared" si="18"/>
        <v>1.01421866310782E-11</v>
      </c>
      <c r="L158" s="57">
        <f t="shared" si="19"/>
        <v>0.77181875328112604</v>
      </c>
      <c r="M158" s="57">
        <f t="shared" si="20"/>
        <v>0</v>
      </c>
      <c r="N158" s="69">
        <f t="shared" si="21"/>
        <v>0</v>
      </c>
    </row>
    <row r="159" spans="2:14">
      <c r="B159" s="67" t="str">
        <f t="shared" si="22"/>
        <v>CH4</v>
      </c>
      <c r="C159" s="50"/>
      <c r="D159" s="57">
        <f t="shared" si="22"/>
        <v>1</v>
      </c>
      <c r="E159" s="57">
        <f t="shared" si="13"/>
        <v>0</v>
      </c>
      <c r="F159" s="57">
        <f t="shared" si="14"/>
        <v>0.63457910130075901</v>
      </c>
      <c r="G159" s="57">
        <f t="shared" si="15"/>
        <v>0.44932707343199701</v>
      </c>
      <c r="H159" s="57">
        <f t="shared" si="16"/>
        <v>1.13719334761696E-4</v>
      </c>
      <c r="I159" s="57">
        <f t="shared" si="17"/>
        <v>2.5594963484721398E-18</v>
      </c>
      <c r="J159" s="57">
        <f t="shared" si="23"/>
        <v>7.5555114768419899E-4</v>
      </c>
      <c r="K159" s="57">
        <f t="shared" si="18"/>
        <v>1.05281647950863E-8</v>
      </c>
      <c r="L159" s="57">
        <f t="shared" si="19"/>
        <v>0.228082825079788</v>
      </c>
      <c r="M159" s="57">
        <f t="shared" si="20"/>
        <v>0</v>
      </c>
      <c r="N159" s="69">
        <f t="shared" si="21"/>
        <v>0</v>
      </c>
    </row>
    <row r="160" spans="2:14">
      <c r="B160" s="67" t="str">
        <f t="shared" si="22"/>
        <v>C2H6</v>
      </c>
      <c r="C160" s="50"/>
      <c r="D160" s="57">
        <f t="shared" si="22"/>
        <v>0</v>
      </c>
      <c r="E160" s="57">
        <f t="shared" si="13"/>
        <v>0</v>
      </c>
      <c r="F160" s="57">
        <f t="shared" si="14"/>
        <v>1.12745749201473E-4</v>
      </c>
      <c r="G160" s="57">
        <f t="shared" si="15"/>
        <v>3.7544114308550201E-3</v>
      </c>
      <c r="H160" s="57">
        <f t="shared" si="16"/>
        <v>4.6644173009586102E-16</v>
      </c>
      <c r="I160" s="57">
        <f t="shared" si="17"/>
        <v>5.2005454893308399E-2</v>
      </c>
      <c r="J160" s="57">
        <f t="shared" si="23"/>
        <v>4.43285177148615E-5</v>
      </c>
      <c r="K160" s="57">
        <f t="shared" si="18"/>
        <v>2.8326365774223098E-7</v>
      </c>
      <c r="L160" s="57">
        <f t="shared" si="19"/>
        <v>1.9162309642100701E-7</v>
      </c>
      <c r="M160" s="57">
        <f t="shared" si="20"/>
        <v>0</v>
      </c>
      <c r="N160" s="69">
        <f t="shared" si="21"/>
        <v>0</v>
      </c>
    </row>
    <row r="161" spans="2:15">
      <c r="B161" s="67" t="str">
        <f t="shared" si="22"/>
        <v>C2H4</v>
      </c>
      <c r="C161" s="50"/>
      <c r="D161" s="57">
        <f t="shared" si="22"/>
        <v>0</v>
      </c>
      <c r="E161" s="57">
        <f t="shared" si="13"/>
        <v>0</v>
      </c>
      <c r="F161" s="57">
        <f t="shared" si="14"/>
        <v>9.2294306659249491E-3</v>
      </c>
      <c r="G161" s="57">
        <f t="shared" si="15"/>
        <v>6.9621724488524994E-2</v>
      </c>
      <c r="H161" s="57">
        <f t="shared" si="16"/>
        <v>0.99877124100691195</v>
      </c>
      <c r="I161" s="57">
        <f t="shared" si="17"/>
        <v>8.59547263417574E-4</v>
      </c>
      <c r="J161" s="57">
        <f t="shared" si="23"/>
        <v>5.5116220660955196E-4</v>
      </c>
      <c r="K161" s="57">
        <f t="shared" si="18"/>
        <v>9.2115378851081798E-7</v>
      </c>
      <c r="L161" s="57">
        <f t="shared" si="19"/>
        <v>9.6312609701323902E-5</v>
      </c>
      <c r="M161" s="57">
        <f t="shared" si="20"/>
        <v>0</v>
      </c>
      <c r="N161" s="69">
        <f t="shared" si="21"/>
        <v>0</v>
      </c>
    </row>
    <row r="162" spans="2:15">
      <c r="B162" s="67" t="str">
        <f t="shared" si="22"/>
        <v>C2H2</v>
      </c>
      <c r="C162" s="50"/>
      <c r="D162" s="57">
        <f t="shared" si="22"/>
        <v>0</v>
      </c>
      <c r="E162" s="57">
        <f t="shared" si="13"/>
        <v>0</v>
      </c>
      <c r="F162" s="57">
        <f t="shared" si="14"/>
        <v>1.68625140912488E-3</v>
      </c>
      <c r="G162" s="57">
        <f t="shared" si="15"/>
        <v>6.7525956375856497E-2</v>
      </c>
      <c r="H162" s="57">
        <f t="shared" si="16"/>
        <v>1.1150396582906099E-3</v>
      </c>
      <c r="I162" s="57">
        <f t="shared" si="17"/>
        <v>0.93940747611484399</v>
      </c>
      <c r="J162" s="57">
        <f t="shared" si="23"/>
        <v>8.9443480761498796E-4</v>
      </c>
      <c r="K162" s="57">
        <f t="shared" si="18"/>
        <v>1.0562958337905401E-5</v>
      </c>
      <c r="L162" s="57">
        <f t="shared" si="19"/>
        <v>1.9174062878948099E-6</v>
      </c>
      <c r="M162" s="57">
        <f t="shared" si="20"/>
        <v>0</v>
      </c>
      <c r="N162" s="69">
        <f t="shared" si="21"/>
        <v>0</v>
      </c>
    </row>
    <row r="163" spans="2:15">
      <c r="B163" s="67" t="str">
        <f t="shared" si="22"/>
        <v>C3-C5</v>
      </c>
      <c r="C163" s="50"/>
      <c r="D163" s="57">
        <f t="shared" si="22"/>
        <v>0</v>
      </c>
      <c r="E163" s="57">
        <f t="shared" si="13"/>
        <v>0</v>
      </c>
      <c r="F163" s="57">
        <f t="shared" si="14"/>
        <v>0</v>
      </c>
      <c r="G163" s="57">
        <f t="shared" si="15"/>
        <v>0</v>
      </c>
      <c r="H163" s="57">
        <f t="shared" si="16"/>
        <v>0</v>
      </c>
      <c r="I163" s="57">
        <f t="shared" si="17"/>
        <v>0</v>
      </c>
      <c r="J163" s="57">
        <f t="shared" si="23"/>
        <v>0</v>
      </c>
      <c r="K163" s="57">
        <f t="shared" si="18"/>
        <v>0</v>
      </c>
      <c r="L163" s="57">
        <f t="shared" si="19"/>
        <v>0</v>
      </c>
      <c r="M163" s="57">
        <f t="shared" si="20"/>
        <v>0</v>
      </c>
      <c r="N163" s="69">
        <f t="shared" si="21"/>
        <v>0</v>
      </c>
    </row>
    <row r="164" spans="2:15">
      <c r="B164" s="67" t="str">
        <f t="shared" si="22"/>
        <v>BEN</v>
      </c>
      <c r="C164" s="50"/>
      <c r="D164" s="57">
        <f t="shared" si="22"/>
        <v>0</v>
      </c>
      <c r="E164" s="57">
        <f t="shared" si="13"/>
        <v>0</v>
      </c>
      <c r="F164" s="57">
        <f t="shared" si="14"/>
        <v>2.73326283684211E-11</v>
      </c>
      <c r="G164" s="57">
        <f t="shared" si="15"/>
        <v>1.1885595291752199E-2</v>
      </c>
      <c r="H164" s="57">
        <f t="shared" si="16"/>
        <v>6.7466750901480404E-242</v>
      </c>
      <c r="I164" s="57">
        <f t="shared" si="17"/>
        <v>7.7275081734450501E-3</v>
      </c>
      <c r="J164" s="57">
        <f t="shared" si="23"/>
        <v>4.0758554607658898E-2</v>
      </c>
      <c r="K164" s="57">
        <f t="shared" si="18"/>
        <v>0.99023107070972705</v>
      </c>
      <c r="L164" s="57">
        <f t="shared" si="19"/>
        <v>1.1877038880616101E-20</v>
      </c>
      <c r="M164" s="57">
        <f t="shared" si="20"/>
        <v>0</v>
      </c>
      <c r="N164" s="69">
        <f t="shared" si="21"/>
        <v>0</v>
      </c>
    </row>
    <row r="165" spans="2:15">
      <c r="B165" s="67" t="str">
        <f t="shared" si="22"/>
        <v>NAP</v>
      </c>
      <c r="C165" s="50"/>
      <c r="D165" s="57">
        <f t="shared" si="22"/>
        <v>0</v>
      </c>
      <c r="E165" s="57">
        <f t="shared" si="13"/>
        <v>0</v>
      </c>
      <c r="F165" s="57">
        <f t="shared" si="14"/>
        <v>2.25718129654538E-60</v>
      </c>
      <c r="G165" s="57">
        <f t="shared" si="15"/>
        <v>4.1882499044877302E-3</v>
      </c>
      <c r="H165" s="57">
        <f t="shared" si="16"/>
        <v>0</v>
      </c>
      <c r="I165" s="57">
        <f t="shared" si="17"/>
        <v>1.3554985107336601E-8</v>
      </c>
      <c r="J165" s="57">
        <f t="shared" si="23"/>
        <v>0.95689783233186498</v>
      </c>
      <c r="K165" s="57">
        <f t="shared" si="18"/>
        <v>9.7571513761818898E-3</v>
      </c>
      <c r="L165" s="57">
        <f t="shared" si="19"/>
        <v>0</v>
      </c>
      <c r="M165" s="57">
        <f t="shared" si="20"/>
        <v>0</v>
      </c>
      <c r="N165" s="69">
        <f t="shared" si="21"/>
        <v>0</v>
      </c>
    </row>
    <row r="166" spans="2:15">
      <c r="B166" s="67" t="str">
        <f t="shared" si="22"/>
        <v>C</v>
      </c>
      <c r="C166" s="50"/>
      <c r="D166" s="57">
        <f t="shared" si="22"/>
        <v>0</v>
      </c>
      <c r="E166" s="57">
        <f t="shared" si="13"/>
        <v>0</v>
      </c>
      <c r="F166" s="57">
        <f t="shared" si="14"/>
        <v>0</v>
      </c>
      <c r="G166" s="57">
        <f t="shared" si="15"/>
        <v>0</v>
      </c>
      <c r="H166" s="57">
        <f t="shared" si="16"/>
        <v>0</v>
      </c>
      <c r="I166" s="57">
        <f t="shared" si="17"/>
        <v>0</v>
      </c>
      <c r="J166" s="57">
        <f t="shared" si="23"/>
        <v>0</v>
      </c>
      <c r="K166" s="57">
        <f t="shared" si="18"/>
        <v>0</v>
      </c>
      <c r="L166" s="57">
        <f t="shared" si="19"/>
        <v>0</v>
      </c>
      <c r="M166" s="57">
        <f t="shared" si="20"/>
        <v>0</v>
      </c>
      <c r="N166" s="69">
        <f t="shared" si="21"/>
        <v>1</v>
      </c>
    </row>
    <row r="167" spans="2:15">
      <c r="B167" s="67" t="str">
        <f t="shared" si="22"/>
        <v>WATER</v>
      </c>
      <c r="C167" s="50"/>
      <c r="D167" s="57">
        <f t="shared" si="22"/>
        <v>0</v>
      </c>
      <c r="E167" s="57">
        <f t="shared" si="13"/>
        <v>0</v>
      </c>
      <c r="F167" s="57">
        <f t="shared" si="14"/>
        <v>0</v>
      </c>
      <c r="G167" s="57">
        <f t="shared" si="15"/>
        <v>0</v>
      </c>
      <c r="H167" s="57">
        <f t="shared" si="16"/>
        <v>0</v>
      </c>
      <c r="I167" s="57">
        <f t="shared" si="17"/>
        <v>0</v>
      </c>
      <c r="J167" s="57">
        <f t="shared" si="23"/>
        <v>0</v>
      </c>
      <c r="K167" s="57">
        <f t="shared" si="18"/>
        <v>0</v>
      </c>
      <c r="L167" s="57">
        <f t="shared" si="19"/>
        <v>0</v>
      </c>
      <c r="M167" s="57">
        <f t="shared" si="20"/>
        <v>0</v>
      </c>
      <c r="N167" s="69">
        <f t="shared" si="21"/>
        <v>0</v>
      </c>
    </row>
    <row r="168" spans="2:15">
      <c r="B168" s="67" t="str">
        <f t="shared" si="22"/>
        <v>O2</v>
      </c>
      <c r="C168" s="50"/>
      <c r="D168" s="57">
        <f t="shared" si="22"/>
        <v>0</v>
      </c>
      <c r="E168" s="57">
        <f t="shared" si="13"/>
        <v>1</v>
      </c>
      <c r="F168" s="57">
        <f t="shared" si="14"/>
        <v>0</v>
      </c>
      <c r="G168" s="57">
        <f t="shared" si="15"/>
        <v>0</v>
      </c>
      <c r="H168" s="57">
        <f t="shared" si="16"/>
        <v>0</v>
      </c>
      <c r="I168" s="57">
        <f t="shared" si="17"/>
        <v>0</v>
      </c>
      <c r="J168" s="57">
        <f t="shared" si="23"/>
        <v>0</v>
      </c>
      <c r="K168" s="57">
        <f t="shared" si="18"/>
        <v>0</v>
      </c>
      <c r="L168" s="57">
        <f t="shared" si="19"/>
        <v>0</v>
      </c>
      <c r="M168" s="57">
        <f t="shared" si="20"/>
        <v>4.1599500788180501E-3</v>
      </c>
      <c r="N168" s="69">
        <f t="shared" si="21"/>
        <v>0</v>
      </c>
    </row>
    <row r="169" spans="2:15">
      <c r="B169" s="67" t="str">
        <f t="shared" si="22"/>
        <v>CO2</v>
      </c>
      <c r="C169" s="50"/>
      <c r="D169" s="57">
        <f t="shared" si="22"/>
        <v>0</v>
      </c>
      <c r="E169" s="57">
        <f t="shared" si="13"/>
        <v>0</v>
      </c>
      <c r="F169" s="57">
        <f t="shared" si="14"/>
        <v>0</v>
      </c>
      <c r="G169" s="57">
        <f t="shared" si="15"/>
        <v>0</v>
      </c>
      <c r="H169" s="57">
        <f t="shared" si="16"/>
        <v>0</v>
      </c>
      <c r="I169" s="57">
        <f t="shared" si="17"/>
        <v>0</v>
      </c>
      <c r="J169" s="57">
        <f t="shared" si="23"/>
        <v>0</v>
      </c>
      <c r="K169" s="57">
        <f t="shared" si="18"/>
        <v>0</v>
      </c>
      <c r="L169" s="57">
        <f t="shared" si="19"/>
        <v>0</v>
      </c>
      <c r="M169" s="57">
        <f t="shared" si="20"/>
        <v>0.99584004992118202</v>
      </c>
      <c r="N169" s="69">
        <f t="shared" si="21"/>
        <v>0</v>
      </c>
    </row>
    <row r="170" spans="2:15" ht="17.25" thickBot="1">
      <c r="B170" s="70" t="str">
        <f t="shared" si="22"/>
        <v>Volume Flow</v>
      </c>
      <c r="C170" s="71" t="str">
        <f t="shared" si="22"/>
        <v>cum/hr</v>
      </c>
      <c r="D170" s="72">
        <f t="shared" si="22"/>
        <v>327437.64971695602</v>
      </c>
      <c r="E170" s="72">
        <f t="shared" si="13"/>
        <v>3502.90289429615</v>
      </c>
      <c r="F170" s="72">
        <f t="shared" si="14"/>
        <v>27389526.075531099</v>
      </c>
      <c r="G170" s="72">
        <f t="shared" si="15"/>
        <v>28557235.373459201</v>
      </c>
      <c r="H170" s="72">
        <f t="shared" si="16"/>
        <v>98.383621473182401</v>
      </c>
      <c r="I170" s="72">
        <f t="shared" si="17"/>
        <v>109.683432849323</v>
      </c>
      <c r="J170" s="72">
        <f t="shared" si="23"/>
        <v>4.4462477291806</v>
      </c>
      <c r="K170" s="72">
        <f t="shared" si="18"/>
        <v>21.7610625336041</v>
      </c>
      <c r="L170" s="72">
        <f t="shared" si="19"/>
        <v>13181.879415298899</v>
      </c>
      <c r="M170" s="72">
        <f t="shared" si="20"/>
        <v>116788.17724538399</v>
      </c>
      <c r="N170" s="73">
        <f t="shared" si="21"/>
        <v>28.5550454362414</v>
      </c>
    </row>
    <row r="172" spans="2:15" ht="21" thickBot="1">
      <c r="B172" s="45"/>
    </row>
    <row r="173" spans="2:15" ht="21" thickBot="1">
      <c r="B173" s="948" t="s">
        <v>655</v>
      </c>
      <c r="C173" s="949"/>
      <c r="D173" s="949"/>
      <c r="E173" s="949"/>
      <c r="F173" s="949"/>
      <c r="G173" s="950"/>
      <c r="I173" s="43" t="s">
        <v>173</v>
      </c>
      <c r="J173" s="46">
        <v>8.8999999999999995E-6</v>
      </c>
      <c r="K173" s="43" t="s">
        <v>174</v>
      </c>
      <c r="L173">
        <f>SUM(L176:L179)</f>
        <v>1106742.9610000001</v>
      </c>
    </row>
    <row r="174" spans="2:15">
      <c r="B174" s="155"/>
      <c r="C174" s="979" t="s">
        <v>177</v>
      </c>
      <c r="D174" s="979"/>
      <c r="E174" s="979" t="s">
        <v>178</v>
      </c>
      <c r="F174" s="979"/>
      <c r="G174" s="149" t="s">
        <v>658</v>
      </c>
      <c r="J174" t="s">
        <v>175</v>
      </c>
      <c r="K174" t="s">
        <v>176</v>
      </c>
      <c r="L174" t="s">
        <v>177</v>
      </c>
      <c r="M174" s="44" t="s">
        <v>178</v>
      </c>
      <c r="N174" t="s">
        <v>179</v>
      </c>
      <c r="O174" t="s">
        <v>180</v>
      </c>
    </row>
    <row r="175" spans="2:15">
      <c r="B175" s="159"/>
      <c r="C175" s="160" t="s">
        <v>651</v>
      </c>
      <c r="D175" s="160" t="s">
        <v>653</v>
      </c>
      <c r="E175" s="160" t="s">
        <v>651</v>
      </c>
      <c r="F175" s="160" t="s">
        <v>653</v>
      </c>
      <c r="G175" s="161" t="s">
        <v>119</v>
      </c>
      <c r="L175" t="s">
        <v>579</v>
      </c>
      <c r="M175" s="44" t="s">
        <v>119</v>
      </c>
      <c r="N175" t="s">
        <v>86</v>
      </c>
      <c r="O175" t="s">
        <v>119</v>
      </c>
    </row>
    <row r="176" spans="2:15">
      <c r="B176" s="145" t="s">
        <v>596</v>
      </c>
      <c r="C176" s="150" t="s">
        <v>654</v>
      </c>
      <c r="D176" s="152">
        <f>SUM(L176:L179)</f>
        <v>1106742.9610000001</v>
      </c>
      <c r="E176" s="153" t="s">
        <v>652</v>
      </c>
      <c r="F176" s="154">
        <f>SUM(M176:M179)</f>
        <v>825311701</v>
      </c>
      <c r="G176" s="137">
        <f>SUM(O176:O179)</f>
        <v>61855.833590000009</v>
      </c>
      <c r="J176" t="s">
        <v>151</v>
      </c>
      <c r="K176" t="s">
        <v>171</v>
      </c>
      <c r="L176">
        <v>860081</v>
      </c>
      <c r="M176" s="44">
        <v>641373000</v>
      </c>
      <c r="N176">
        <v>7654.72</v>
      </c>
      <c r="O176">
        <v>48069.9</v>
      </c>
    </row>
    <row r="177" spans="2:16">
      <c r="B177" s="145" t="s">
        <v>183</v>
      </c>
      <c r="C177" s="150" t="s">
        <v>654</v>
      </c>
      <c r="D177" s="152">
        <f>SUM(L185:L186)</f>
        <v>3447411</v>
      </c>
      <c r="E177" s="153" t="s">
        <v>657</v>
      </c>
      <c r="F177" s="154">
        <f>SUM(M185:M186)</f>
        <v>957613.8</v>
      </c>
      <c r="G177" s="137">
        <f>SUM(O185:O186)</f>
        <v>332198.8</v>
      </c>
      <c r="J177" t="s">
        <v>154</v>
      </c>
      <c r="K177" t="s">
        <v>172</v>
      </c>
      <c r="L177">
        <v>103.661</v>
      </c>
      <c r="M177" s="44">
        <v>77301</v>
      </c>
      <c r="N177">
        <v>0.92257999999999996</v>
      </c>
      <c r="O177">
        <v>5.79359</v>
      </c>
    </row>
    <row r="178" spans="2:16">
      <c r="B178" s="145" t="s">
        <v>185</v>
      </c>
      <c r="C178" s="150" t="s">
        <v>654</v>
      </c>
      <c r="D178" s="152">
        <f>SUM(M191:M192)</f>
        <v>387687000</v>
      </c>
      <c r="E178" s="153" t="s">
        <v>652</v>
      </c>
      <c r="F178" s="154">
        <f>SUM(M191:M192)</f>
        <v>387687000</v>
      </c>
      <c r="G178" s="137">
        <f>SUM(O191:O192)</f>
        <v>0</v>
      </c>
      <c r="J178" t="s">
        <v>126</v>
      </c>
      <c r="K178" t="s">
        <v>172</v>
      </c>
      <c r="L178">
        <v>65429.3</v>
      </c>
      <c r="M178" s="44">
        <v>48791400</v>
      </c>
      <c r="N178">
        <v>582.32100000000003</v>
      </c>
      <c r="O178">
        <v>3656.84</v>
      </c>
    </row>
    <row r="179" spans="2:16">
      <c r="B179" s="287" t="s">
        <v>187</v>
      </c>
      <c r="C179" s="150" t="s">
        <v>654</v>
      </c>
      <c r="D179" s="152">
        <f>SUM(L198)</f>
        <v>4484990</v>
      </c>
      <c r="E179" s="153" t="s">
        <v>652</v>
      </c>
      <c r="F179" s="154">
        <f>SUM(M198)</f>
        <v>2803120</v>
      </c>
      <c r="G179" s="137">
        <f>SUM(O198)</f>
        <v>294901</v>
      </c>
      <c r="J179" t="s">
        <v>156</v>
      </c>
      <c r="K179" t="s">
        <v>172</v>
      </c>
      <c r="L179">
        <v>181129</v>
      </c>
      <c r="M179" s="44">
        <v>135070000</v>
      </c>
      <c r="N179">
        <v>1612.05</v>
      </c>
      <c r="O179">
        <v>10123.299999999999</v>
      </c>
    </row>
    <row r="180" spans="2:16">
      <c r="B180" s="145" t="s">
        <v>598</v>
      </c>
      <c r="C180" s="150" t="s">
        <v>654</v>
      </c>
      <c r="D180" s="152">
        <f>SUM(L203)</f>
        <v>7114.45</v>
      </c>
      <c r="E180" s="153" t="s">
        <v>652</v>
      </c>
      <c r="F180" s="154">
        <f>SUM(M203)</f>
        <v>4505.93</v>
      </c>
      <c r="G180" s="137">
        <f>O203</f>
        <v>467.79599999999999</v>
      </c>
    </row>
    <row r="181" spans="2:16" ht="17.25" thickBot="1">
      <c r="B181" s="146" t="s">
        <v>599</v>
      </c>
      <c r="C181" s="151" t="s">
        <v>654</v>
      </c>
      <c r="D181" s="156">
        <f>SUM(L208:L209)</f>
        <v>287236</v>
      </c>
      <c r="E181" s="157" t="s">
        <v>652</v>
      </c>
      <c r="F181" s="158">
        <f>SUM(M208:M209)</f>
        <v>131045.5</v>
      </c>
      <c r="G181" s="138">
        <f>SUM(O208:O209)</f>
        <v>18886.59</v>
      </c>
    </row>
    <row r="182" spans="2:16">
      <c r="I182" s="43" t="s">
        <v>183</v>
      </c>
      <c r="J182" s="43">
        <v>7.7499999999999999E-2</v>
      </c>
      <c r="K182" s="43" t="s">
        <v>184</v>
      </c>
      <c r="L182" s="44">
        <f>SUM(L185:L186)</f>
        <v>3447411</v>
      </c>
    </row>
    <row r="183" spans="2:16">
      <c r="J183" t="s">
        <v>175</v>
      </c>
      <c r="K183" t="s">
        <v>176</v>
      </c>
      <c r="L183" t="s">
        <v>177</v>
      </c>
      <c r="M183" t="s">
        <v>178</v>
      </c>
      <c r="N183" t="s">
        <v>179</v>
      </c>
      <c r="O183" t="s">
        <v>180</v>
      </c>
    </row>
    <row r="184" spans="2:16">
      <c r="L184" t="s">
        <v>579</v>
      </c>
      <c r="M184" t="s">
        <v>181</v>
      </c>
      <c r="N184" t="s">
        <v>86</v>
      </c>
      <c r="O184" t="s">
        <v>119</v>
      </c>
    </row>
    <row r="185" spans="2:16">
      <c r="J185" t="s">
        <v>147</v>
      </c>
      <c r="K185" t="s">
        <v>182</v>
      </c>
      <c r="L185" s="44">
        <v>3151560</v>
      </c>
      <c r="M185">
        <v>875433</v>
      </c>
      <c r="N185">
        <v>67846.100000000006</v>
      </c>
      <c r="O185">
        <v>303690</v>
      </c>
    </row>
    <row r="186" spans="2:16">
      <c r="J186" t="s">
        <v>150</v>
      </c>
      <c r="K186" t="s">
        <v>182</v>
      </c>
      <c r="L186">
        <v>295851</v>
      </c>
      <c r="M186">
        <v>82180.800000000003</v>
      </c>
      <c r="N186">
        <v>6369.02</v>
      </c>
      <c r="O186">
        <v>28508.799999999999</v>
      </c>
    </row>
    <row r="188" spans="2:16">
      <c r="I188" s="43" t="s">
        <v>185</v>
      </c>
      <c r="J188" s="46">
        <v>2.1199999999999999E-7</v>
      </c>
      <c r="K188" s="43" t="s">
        <v>174</v>
      </c>
      <c r="L188" s="44">
        <f>SUM(L191:L192)</f>
        <v>8093260</v>
      </c>
    </row>
    <row r="189" spans="2:16">
      <c r="J189" t="s">
        <v>175</v>
      </c>
      <c r="K189" t="s">
        <v>176</v>
      </c>
      <c r="L189" t="s">
        <v>177</v>
      </c>
      <c r="M189" t="s">
        <v>178</v>
      </c>
      <c r="N189" t="s">
        <v>179</v>
      </c>
      <c r="O189" t="s">
        <v>180</v>
      </c>
    </row>
    <row r="190" spans="2:16">
      <c r="L190" t="s">
        <v>579</v>
      </c>
      <c r="M190" t="s">
        <v>119</v>
      </c>
      <c r="N190" t="s">
        <v>86</v>
      </c>
    </row>
    <row r="191" spans="2:16">
      <c r="J191" t="s">
        <v>148</v>
      </c>
      <c r="K191" t="s">
        <v>171</v>
      </c>
      <c r="L191" s="44">
        <v>3160320</v>
      </c>
      <c r="M191" s="44">
        <v>151387000</v>
      </c>
      <c r="N191">
        <v>669.98800000000006</v>
      </c>
      <c r="P191" s="44"/>
    </row>
    <row r="192" spans="2:16">
      <c r="J192" t="s">
        <v>146</v>
      </c>
      <c r="K192" t="s">
        <v>171</v>
      </c>
      <c r="L192" s="44">
        <v>4932940</v>
      </c>
      <c r="M192" s="44">
        <v>236300000</v>
      </c>
      <c r="N192">
        <v>1045.78</v>
      </c>
    </row>
    <row r="193" spans="8:17">
      <c r="M193" s="44"/>
    </row>
    <row r="195" spans="8:17">
      <c r="H195" s="180">
        <f>J195/J200</f>
        <v>2.536</v>
      </c>
      <c r="I195" s="43" t="s">
        <v>187</v>
      </c>
      <c r="J195" s="46">
        <v>6.3400000000000003E-6</v>
      </c>
      <c r="K195" s="43" t="s">
        <v>174</v>
      </c>
      <c r="L195" s="44">
        <f>SUM(L198)</f>
        <v>4484990</v>
      </c>
    </row>
    <row r="196" spans="8:17">
      <c r="J196" t="s">
        <v>175</v>
      </c>
      <c r="K196" t="s">
        <v>176</v>
      </c>
      <c r="L196" t="s">
        <v>177</v>
      </c>
      <c r="M196" t="s">
        <v>178</v>
      </c>
      <c r="N196" t="s">
        <v>179</v>
      </c>
      <c r="O196" t="s">
        <v>180</v>
      </c>
    </row>
    <row r="197" spans="8:17">
      <c r="L197" t="s">
        <v>579</v>
      </c>
      <c r="M197" t="s">
        <v>119</v>
      </c>
      <c r="N197" t="s">
        <v>86</v>
      </c>
      <c r="O197" t="s">
        <v>119</v>
      </c>
    </row>
    <row r="198" spans="8:17">
      <c r="J198" t="s">
        <v>144</v>
      </c>
      <c r="K198" t="s">
        <v>171</v>
      </c>
      <c r="L198" s="44">
        <v>4484990</v>
      </c>
      <c r="M198" s="44">
        <v>2803120</v>
      </c>
      <c r="N198">
        <v>28434.799999999999</v>
      </c>
      <c r="O198">
        <v>294901</v>
      </c>
    </row>
    <row r="200" spans="8:17">
      <c r="H200" s="180">
        <f>J200/J205</f>
        <v>1.3157894736842106</v>
      </c>
      <c r="I200" s="43" t="s">
        <v>186</v>
      </c>
      <c r="J200" s="46">
        <v>2.5000000000000002E-6</v>
      </c>
      <c r="K200" s="43" t="s">
        <v>174</v>
      </c>
      <c r="L200">
        <f>SUM(L203)</f>
        <v>7114.45</v>
      </c>
    </row>
    <row r="201" spans="8:17">
      <c r="J201" t="s">
        <v>175</v>
      </c>
      <c r="K201" t="s">
        <v>176</v>
      </c>
      <c r="L201" t="s">
        <v>177</v>
      </c>
      <c r="M201" t="s">
        <v>178</v>
      </c>
      <c r="N201" t="s">
        <v>179</v>
      </c>
      <c r="O201" t="s">
        <v>180</v>
      </c>
    </row>
    <row r="202" spans="8:17">
      <c r="L202" t="s">
        <v>579</v>
      </c>
      <c r="M202" t="s">
        <v>119</v>
      </c>
      <c r="N202" t="s">
        <v>86</v>
      </c>
      <c r="O202" t="s">
        <v>119</v>
      </c>
    </row>
    <row r="203" spans="8:17">
      <c r="J203" t="s">
        <v>154</v>
      </c>
      <c r="K203" t="s">
        <v>172</v>
      </c>
      <c r="L203">
        <v>7114.45</v>
      </c>
      <c r="M203">
        <v>4505.93</v>
      </c>
      <c r="N203">
        <v>17.786100000000001</v>
      </c>
      <c r="O203">
        <v>467.79599999999999</v>
      </c>
    </row>
    <row r="205" spans="8:17">
      <c r="I205" s="43" t="s">
        <v>188</v>
      </c>
      <c r="J205" s="46">
        <v>1.9E-6</v>
      </c>
      <c r="K205" s="43" t="s">
        <v>174</v>
      </c>
      <c r="L205">
        <f>SUM(L208:L209)</f>
        <v>287236</v>
      </c>
      <c r="Q205" s="44"/>
    </row>
    <row r="206" spans="8:17">
      <c r="J206" t="s">
        <v>175</v>
      </c>
      <c r="K206" t="s">
        <v>176</v>
      </c>
      <c r="L206" t="s">
        <v>177</v>
      </c>
      <c r="M206" t="s">
        <v>178</v>
      </c>
      <c r="N206" t="s">
        <v>179</v>
      </c>
      <c r="O206" t="s">
        <v>180</v>
      </c>
    </row>
    <row r="207" spans="8:17">
      <c r="L207" t="s">
        <v>579</v>
      </c>
      <c r="M207" t="s">
        <v>119</v>
      </c>
      <c r="N207" t="s">
        <v>86</v>
      </c>
      <c r="O207" t="s">
        <v>119</v>
      </c>
    </row>
    <row r="208" spans="8:17">
      <c r="J208" t="s">
        <v>126</v>
      </c>
      <c r="K208" t="s">
        <v>172</v>
      </c>
      <c r="L208">
        <v>126642</v>
      </c>
      <c r="M208">
        <v>57777.9</v>
      </c>
      <c r="N208">
        <v>240.62</v>
      </c>
      <c r="O208">
        <v>8327.09</v>
      </c>
    </row>
    <row r="209" spans="8:15">
      <c r="J209" t="s">
        <v>156</v>
      </c>
      <c r="K209" t="s">
        <v>172</v>
      </c>
      <c r="L209">
        <v>160594</v>
      </c>
      <c r="M209">
        <v>73267.600000000006</v>
      </c>
      <c r="N209">
        <v>305.12799999999999</v>
      </c>
      <c r="O209">
        <v>10559.5</v>
      </c>
    </row>
    <row r="210" spans="8:15">
      <c r="M210">
        <f>SUM(M208:M209)/1000</f>
        <v>131.0455</v>
      </c>
    </row>
    <row r="219" spans="8:15">
      <c r="H219" t="s">
        <v>656</v>
      </c>
    </row>
  </sheetData>
  <mergeCells count="4">
    <mergeCell ref="B116:N116"/>
    <mergeCell ref="C174:D174"/>
    <mergeCell ref="E174:F174"/>
    <mergeCell ref="B173:G173"/>
  </mergeCells>
  <phoneticPr fontId="8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7"/>
  <sheetViews>
    <sheetView topLeftCell="A16" workbookViewId="0">
      <selection activeCell="B8" sqref="B8"/>
    </sheetView>
  </sheetViews>
  <sheetFormatPr defaultRowHeight="16.5"/>
  <cols>
    <col min="1" max="1" width="33.125" customWidth="1"/>
    <col min="2" max="2" width="42.5" customWidth="1"/>
  </cols>
  <sheetData>
    <row r="1" spans="1:3">
      <c r="B1" t="s">
        <v>189</v>
      </c>
    </row>
    <row r="2" spans="1:3">
      <c r="A2" t="s">
        <v>190</v>
      </c>
    </row>
    <row r="4" spans="1:3">
      <c r="A4" t="s">
        <v>191</v>
      </c>
      <c r="B4" t="s">
        <v>192</v>
      </c>
    </row>
    <row r="6" spans="1:3">
      <c r="A6" t="s">
        <v>193</v>
      </c>
      <c r="B6" t="s">
        <v>600</v>
      </c>
    </row>
    <row r="8" spans="1:3">
      <c r="A8" t="s">
        <v>194</v>
      </c>
      <c r="B8" t="s">
        <v>195</v>
      </c>
    </row>
    <row r="10" spans="1:3">
      <c r="A10" t="s">
        <v>196</v>
      </c>
      <c r="B10">
        <v>1</v>
      </c>
    </row>
    <row r="14" spans="1:3">
      <c r="A14" t="s">
        <v>197</v>
      </c>
      <c r="B14" t="s">
        <v>198</v>
      </c>
    </row>
    <row r="15" spans="1:3">
      <c r="A15" t="s">
        <v>199</v>
      </c>
      <c r="B15" s="47">
        <v>42370</v>
      </c>
    </row>
    <row r="16" spans="1:3">
      <c r="A16" t="s">
        <v>200</v>
      </c>
      <c r="B16">
        <v>96</v>
      </c>
      <c r="C16" t="s">
        <v>201</v>
      </c>
    </row>
    <row r="17" spans="1:3">
      <c r="A17" t="s">
        <v>202</v>
      </c>
      <c r="B17" t="s">
        <v>601</v>
      </c>
    </row>
    <row r="18" spans="1:3">
      <c r="A18" t="s">
        <v>203</v>
      </c>
      <c r="B18">
        <v>20</v>
      </c>
      <c r="C18" t="s">
        <v>201</v>
      </c>
    </row>
    <row r="21" spans="1:3">
      <c r="A21" t="s">
        <v>204</v>
      </c>
      <c r="B21" t="s">
        <v>198</v>
      </c>
    </row>
    <row r="22" spans="1:3">
      <c r="A22" t="s">
        <v>205</v>
      </c>
      <c r="B22">
        <v>1</v>
      </c>
      <c r="C22" t="s">
        <v>206</v>
      </c>
    </row>
    <row r="23" spans="1:3">
      <c r="A23" t="s">
        <v>207</v>
      </c>
      <c r="B23" s="48">
        <v>203444430.09</v>
      </c>
      <c r="C23" t="s">
        <v>208</v>
      </c>
    </row>
    <row r="24" spans="1:3">
      <c r="A24" t="s">
        <v>209</v>
      </c>
      <c r="B24" s="48">
        <v>397026510.25</v>
      </c>
      <c r="C24" t="s">
        <v>210</v>
      </c>
    </row>
    <row r="25" spans="1:3">
      <c r="A25" t="s">
        <v>211</v>
      </c>
      <c r="B25" s="48">
        <v>14880094.279999999</v>
      </c>
      <c r="C25" t="s">
        <v>210</v>
      </c>
    </row>
    <row r="26" spans="1:3">
      <c r="A26" t="s">
        <v>212</v>
      </c>
      <c r="B26" s="48">
        <v>348437044.83999997</v>
      </c>
      <c r="C26" t="s">
        <v>210</v>
      </c>
    </row>
    <row r="27" spans="1:3">
      <c r="A27" t="s">
        <v>213</v>
      </c>
      <c r="B27" s="48">
        <v>1009148872</v>
      </c>
      <c r="C27" t="s">
        <v>210</v>
      </c>
    </row>
    <row r="28" spans="1:3">
      <c r="A28" t="s">
        <v>214</v>
      </c>
      <c r="B28">
        <v>8</v>
      </c>
      <c r="C28" t="s">
        <v>215</v>
      </c>
    </row>
    <row r="29" spans="1:3">
      <c r="A29" t="s">
        <v>216</v>
      </c>
      <c r="B29">
        <v>3.04</v>
      </c>
      <c r="C29" t="s">
        <v>217</v>
      </c>
    </row>
    <row r="31" spans="1:3">
      <c r="A31" t="s">
        <v>218</v>
      </c>
      <c r="B31" t="s">
        <v>198</v>
      </c>
    </row>
    <row r="32" spans="1:3">
      <c r="A32" t="s">
        <v>219</v>
      </c>
      <c r="B32" t="s">
        <v>220</v>
      </c>
    </row>
    <row r="33" spans="1:2">
      <c r="A33" t="s">
        <v>221</v>
      </c>
    </row>
    <row r="34" spans="1:2">
      <c r="A34" t="s">
        <v>222</v>
      </c>
      <c r="B34" t="s">
        <v>602</v>
      </c>
    </row>
    <row r="35" spans="1:2">
      <c r="A35" t="s">
        <v>223</v>
      </c>
      <c r="B35" t="s">
        <v>603</v>
      </c>
    </row>
    <row r="37" spans="1:2">
      <c r="A37" t="s">
        <v>224</v>
      </c>
      <c r="B37" t="s">
        <v>225</v>
      </c>
    </row>
    <row r="38" spans="1:2">
      <c r="A38" t="s">
        <v>221</v>
      </c>
      <c r="B38" t="s">
        <v>226</v>
      </c>
    </row>
    <row r="39" spans="1:2">
      <c r="A39" t="s">
        <v>227</v>
      </c>
      <c r="B39" t="s">
        <v>228</v>
      </c>
    </row>
    <row r="40" spans="1:2">
      <c r="A40" t="s">
        <v>229</v>
      </c>
      <c r="B40" t="s">
        <v>559</v>
      </c>
    </row>
    <row r="41" spans="1:2">
      <c r="A41" t="s">
        <v>230</v>
      </c>
      <c r="B41" t="s">
        <v>604</v>
      </c>
    </row>
    <row r="42" spans="1:2">
      <c r="A42" t="s">
        <v>231</v>
      </c>
      <c r="B42" t="s">
        <v>232</v>
      </c>
    </row>
    <row r="43" spans="1:2">
      <c r="A43" t="s">
        <v>233</v>
      </c>
      <c r="B43" t="s">
        <v>234</v>
      </c>
    </row>
    <row r="44" spans="1:2">
      <c r="A44" t="s">
        <v>235</v>
      </c>
      <c r="B44" t="s">
        <v>236</v>
      </c>
    </row>
    <row r="45" spans="1:2">
      <c r="A45" t="s">
        <v>237</v>
      </c>
      <c r="B45" t="s">
        <v>605</v>
      </c>
    </row>
    <row r="47" spans="1:2">
      <c r="A47" t="s">
        <v>238</v>
      </c>
      <c r="B47" t="s">
        <v>198</v>
      </c>
    </row>
  </sheetData>
  <phoneticPr fontId="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3"/>
  <sheetViews>
    <sheetView topLeftCell="A73" workbookViewId="0">
      <selection activeCell="A53" sqref="A53"/>
    </sheetView>
  </sheetViews>
  <sheetFormatPr defaultRowHeight="16.5"/>
  <cols>
    <col min="1" max="1" width="49.25" customWidth="1"/>
    <col min="2" max="2" width="17.5" bestFit="1" customWidth="1"/>
    <col min="3" max="3" width="21.25" customWidth="1"/>
    <col min="5" max="5" width="13.875" bestFit="1" customWidth="1"/>
  </cols>
  <sheetData>
    <row r="1" spans="1:3">
      <c r="A1" t="s">
        <v>239</v>
      </c>
    </row>
    <row r="3" spans="1:3">
      <c r="A3" t="s">
        <v>240</v>
      </c>
      <c r="B3" t="s">
        <v>241</v>
      </c>
      <c r="C3" t="s">
        <v>242</v>
      </c>
    </row>
    <row r="4" spans="1:3">
      <c r="A4" t="s">
        <v>243</v>
      </c>
    </row>
    <row r="6" spans="1:3">
      <c r="A6" t="s">
        <v>244</v>
      </c>
    </row>
    <row r="8" spans="1:3">
      <c r="A8" t="s">
        <v>245</v>
      </c>
      <c r="C8" t="s">
        <v>192</v>
      </c>
    </row>
    <row r="9" spans="1:3">
      <c r="A9" t="s">
        <v>246</v>
      </c>
      <c r="C9">
        <v>1</v>
      </c>
    </row>
    <row r="10" spans="1:3">
      <c r="A10" t="s">
        <v>247</v>
      </c>
      <c r="C10" t="s">
        <v>604</v>
      </c>
    </row>
    <row r="11" spans="1:3">
      <c r="A11" t="s">
        <v>248</v>
      </c>
      <c r="C11" t="s">
        <v>220</v>
      </c>
    </row>
    <row r="12" spans="1:3">
      <c r="A12" t="s">
        <v>249</v>
      </c>
    </row>
    <row r="13" spans="1:3">
      <c r="A13" t="s">
        <v>250</v>
      </c>
      <c r="C13" t="s">
        <v>602</v>
      </c>
    </row>
    <row r="14" spans="1:3">
      <c r="A14" t="s">
        <v>251</v>
      </c>
      <c r="C14" t="s">
        <v>603</v>
      </c>
    </row>
    <row r="15" spans="1:3">
      <c r="A15" t="s">
        <v>252</v>
      </c>
      <c r="C15" t="s">
        <v>225</v>
      </c>
    </row>
    <row r="16" spans="1:3">
      <c r="A16" t="s">
        <v>253</v>
      </c>
      <c r="C16" t="s">
        <v>226</v>
      </c>
    </row>
    <row r="17" spans="1:3">
      <c r="A17" t="s">
        <v>254</v>
      </c>
      <c r="C17" t="s">
        <v>559</v>
      </c>
    </row>
    <row r="18" spans="1:3">
      <c r="A18" t="s">
        <v>255</v>
      </c>
      <c r="C18">
        <v>1</v>
      </c>
    </row>
    <row r="19" spans="1:3">
      <c r="A19" t="s">
        <v>256</v>
      </c>
      <c r="C19" t="s">
        <v>606</v>
      </c>
    </row>
    <row r="20" spans="1:3">
      <c r="A20" t="s">
        <v>243</v>
      </c>
    </row>
    <row r="21" spans="1:3">
      <c r="A21" t="s">
        <v>257</v>
      </c>
    </row>
    <row r="23" spans="1:3">
      <c r="A23" t="s">
        <v>258</v>
      </c>
      <c r="C23" s="47">
        <v>43726</v>
      </c>
    </row>
    <row r="24" spans="1:3">
      <c r="A24" t="s">
        <v>259</v>
      </c>
      <c r="C24" t="s">
        <v>232</v>
      </c>
    </row>
    <row r="25" spans="1:3">
      <c r="A25" t="s">
        <v>260</v>
      </c>
      <c r="C25" t="s">
        <v>261</v>
      </c>
    </row>
    <row r="26" spans="1:3">
      <c r="A26" t="s">
        <v>262</v>
      </c>
      <c r="C26" t="s">
        <v>263</v>
      </c>
    </row>
    <row r="27" spans="1:3">
      <c r="A27" t="s">
        <v>264</v>
      </c>
      <c r="B27" t="s">
        <v>206</v>
      </c>
      <c r="C27">
        <v>1</v>
      </c>
    </row>
    <row r="28" spans="1:3">
      <c r="A28" t="s">
        <v>265</v>
      </c>
      <c r="C28" t="s">
        <v>228</v>
      </c>
    </row>
    <row r="29" spans="1:3">
      <c r="A29" t="s">
        <v>266</v>
      </c>
      <c r="C29" t="s">
        <v>234</v>
      </c>
    </row>
    <row r="30" spans="1:3">
      <c r="A30" t="s">
        <v>267</v>
      </c>
      <c r="C30" t="s">
        <v>236</v>
      </c>
    </row>
    <row r="31" spans="1:3">
      <c r="A31" t="s">
        <v>268</v>
      </c>
      <c r="C31" t="s">
        <v>605</v>
      </c>
    </row>
    <row r="32" spans="1:3">
      <c r="A32" t="s">
        <v>269</v>
      </c>
      <c r="C32" t="s">
        <v>195</v>
      </c>
    </row>
    <row r="33" spans="1:3">
      <c r="A33" t="s">
        <v>270</v>
      </c>
      <c r="C33" t="s">
        <v>600</v>
      </c>
    </row>
    <row r="34" spans="1:3">
      <c r="A34" t="s">
        <v>271</v>
      </c>
      <c r="B34" t="s">
        <v>272</v>
      </c>
      <c r="C34">
        <v>-90</v>
      </c>
    </row>
    <row r="35" spans="1:3">
      <c r="A35" t="s">
        <v>273</v>
      </c>
      <c r="C35" t="s">
        <v>274</v>
      </c>
    </row>
    <row r="36" spans="1:3">
      <c r="A36" t="s">
        <v>275</v>
      </c>
      <c r="C36" t="s">
        <v>276</v>
      </c>
    </row>
    <row r="37" spans="1:3">
      <c r="A37" t="s">
        <v>277</v>
      </c>
      <c r="C37" t="s">
        <v>208</v>
      </c>
    </row>
    <row r="39" spans="1:3">
      <c r="A39" t="s">
        <v>243</v>
      </c>
    </row>
    <row r="41" spans="1:3">
      <c r="A41" t="s">
        <v>278</v>
      </c>
    </row>
    <row r="43" spans="1:3">
      <c r="A43" t="s">
        <v>279</v>
      </c>
      <c r="C43" t="s">
        <v>217</v>
      </c>
    </row>
    <row r="44" spans="1:3">
      <c r="A44" t="s">
        <v>280</v>
      </c>
      <c r="B44" t="s">
        <v>281</v>
      </c>
      <c r="C44" s="48">
        <v>8000</v>
      </c>
    </row>
    <row r="45" spans="1:3">
      <c r="A45" t="s">
        <v>282</v>
      </c>
      <c r="B45" t="s">
        <v>283</v>
      </c>
      <c r="C45">
        <v>52</v>
      </c>
    </row>
    <row r="46" spans="1:3">
      <c r="A46" t="s">
        <v>284</v>
      </c>
      <c r="B46" t="s">
        <v>285</v>
      </c>
      <c r="C46">
        <v>30</v>
      </c>
    </row>
    <row r="57" spans="1:3">
      <c r="A57" t="s">
        <v>243</v>
      </c>
    </row>
    <row r="59" spans="1:3">
      <c r="A59" t="s">
        <v>286</v>
      </c>
    </row>
    <row r="61" spans="1:3">
      <c r="A61" t="s">
        <v>287</v>
      </c>
      <c r="C61" s="47">
        <v>42370</v>
      </c>
    </row>
    <row r="62" spans="1:3">
      <c r="A62" t="s">
        <v>288</v>
      </c>
      <c r="B62" t="s">
        <v>201</v>
      </c>
      <c r="C62">
        <v>96</v>
      </c>
    </row>
    <row r="63" spans="1:3">
      <c r="A63" t="s">
        <v>289</v>
      </c>
      <c r="B63" t="s">
        <v>201</v>
      </c>
      <c r="C63">
        <v>20</v>
      </c>
    </row>
    <row r="64" spans="1:3">
      <c r="A64" t="s">
        <v>290</v>
      </c>
      <c r="B64" t="s">
        <v>201</v>
      </c>
      <c r="C64">
        <v>62</v>
      </c>
    </row>
    <row r="65" spans="1:3">
      <c r="A65" t="s">
        <v>291</v>
      </c>
      <c r="C65" t="s">
        <v>601</v>
      </c>
    </row>
    <row r="75" spans="1:3">
      <c r="A75" t="s">
        <v>243</v>
      </c>
    </row>
    <row r="77" spans="1:3">
      <c r="A77" t="s">
        <v>292</v>
      </c>
    </row>
    <row r="79" spans="1:3">
      <c r="A79" t="s">
        <v>293</v>
      </c>
      <c r="B79" t="s">
        <v>294</v>
      </c>
      <c r="C79">
        <v>5</v>
      </c>
    </row>
    <row r="91" spans="1:3">
      <c r="A91" t="s">
        <v>243</v>
      </c>
    </row>
    <row r="93" spans="1:3">
      <c r="A93" t="s">
        <v>295</v>
      </c>
    </row>
    <row r="95" spans="1:3">
      <c r="A95" t="s">
        <v>296</v>
      </c>
      <c r="B95" t="s">
        <v>297</v>
      </c>
      <c r="C95">
        <v>0</v>
      </c>
    </row>
    <row r="96" spans="1:3">
      <c r="A96" t="s">
        <v>298</v>
      </c>
      <c r="B96" t="s">
        <v>297</v>
      </c>
      <c r="C96">
        <v>0</v>
      </c>
    </row>
    <row r="97" spans="1:3">
      <c r="A97" t="s">
        <v>299</v>
      </c>
      <c r="B97" t="s">
        <v>294</v>
      </c>
      <c r="C97">
        <v>25</v>
      </c>
    </row>
    <row r="98" spans="1:3">
      <c r="A98" t="s">
        <v>300</v>
      </c>
      <c r="B98" t="s">
        <v>294</v>
      </c>
      <c r="C98">
        <v>25</v>
      </c>
    </row>
    <row r="99" spans="1:3">
      <c r="A99" t="s">
        <v>301</v>
      </c>
      <c r="B99" t="s">
        <v>294</v>
      </c>
      <c r="C99">
        <v>50</v>
      </c>
    </row>
    <row r="100" spans="1:3">
      <c r="A100" t="s">
        <v>302</v>
      </c>
      <c r="B100" t="s">
        <v>294</v>
      </c>
      <c r="C100">
        <v>8</v>
      </c>
    </row>
    <row r="108" spans="1:3">
      <c r="A108" t="s">
        <v>243</v>
      </c>
    </row>
    <row r="110" spans="1:3">
      <c r="A110" t="s">
        <v>303</v>
      </c>
    </row>
    <row r="112" spans="1:3">
      <c r="A112" t="s">
        <v>304</v>
      </c>
      <c r="B112" t="s">
        <v>294</v>
      </c>
      <c r="C112">
        <v>35</v>
      </c>
    </row>
    <row r="113" spans="1:3">
      <c r="A113" t="s">
        <v>305</v>
      </c>
      <c r="B113" t="s">
        <v>294</v>
      </c>
      <c r="C113">
        <v>8</v>
      </c>
    </row>
    <row r="114" spans="1:3">
      <c r="A114" t="s">
        <v>306</v>
      </c>
      <c r="B114" t="s">
        <v>285</v>
      </c>
      <c r="C114">
        <v>30</v>
      </c>
    </row>
    <row r="115" spans="1:3">
      <c r="A115" t="s">
        <v>307</v>
      </c>
      <c r="B115" t="s">
        <v>308</v>
      </c>
      <c r="C115">
        <v>20</v>
      </c>
    </row>
    <row r="116" spans="1:3">
      <c r="A116" t="s">
        <v>309</v>
      </c>
      <c r="C116" t="s">
        <v>310</v>
      </c>
    </row>
    <row r="128" spans="1:3">
      <c r="A128" t="s">
        <v>243</v>
      </c>
    </row>
    <row r="130" spans="1:3">
      <c r="A130" t="s">
        <v>311</v>
      </c>
    </row>
    <row r="132" spans="1:3">
      <c r="A132" t="s">
        <v>312</v>
      </c>
      <c r="B132" t="s">
        <v>294</v>
      </c>
      <c r="C132">
        <v>5</v>
      </c>
    </row>
    <row r="133" spans="1:3">
      <c r="A133" t="s">
        <v>313</v>
      </c>
      <c r="B133" t="s">
        <v>294</v>
      </c>
      <c r="C133">
        <v>5</v>
      </c>
    </row>
    <row r="134" spans="1:3">
      <c r="A134" t="s">
        <v>314</v>
      </c>
      <c r="B134" t="s">
        <v>294</v>
      </c>
      <c r="C134">
        <v>3.5</v>
      </c>
    </row>
    <row r="135" spans="1:3">
      <c r="A135" t="s">
        <v>315</v>
      </c>
      <c r="B135" t="s">
        <v>294</v>
      </c>
      <c r="C135">
        <v>3</v>
      </c>
    </row>
    <row r="136" spans="1:3">
      <c r="A136" t="s">
        <v>316</v>
      </c>
      <c r="B136" t="s">
        <v>294</v>
      </c>
      <c r="C136">
        <v>3</v>
      </c>
    </row>
    <row r="148" spans="1:3">
      <c r="A148" t="s">
        <v>243</v>
      </c>
    </row>
    <row r="150" spans="1:3">
      <c r="A150" t="s">
        <v>317</v>
      </c>
    </row>
    <row r="152" spans="1:3">
      <c r="A152" t="s">
        <v>318</v>
      </c>
      <c r="B152" t="s">
        <v>179</v>
      </c>
      <c r="C152" s="48">
        <v>203444430.09</v>
      </c>
    </row>
    <row r="153" spans="1:3">
      <c r="A153" t="s">
        <v>319</v>
      </c>
      <c r="B153" t="s">
        <v>297</v>
      </c>
      <c r="C153" s="48">
        <v>14880094.279999999</v>
      </c>
    </row>
    <row r="154" spans="1:3">
      <c r="A154" t="s">
        <v>320</v>
      </c>
      <c r="B154" t="s">
        <v>297</v>
      </c>
      <c r="C154" s="48">
        <v>1009148872</v>
      </c>
    </row>
    <row r="155" spans="1:3">
      <c r="A155" t="s">
        <v>321</v>
      </c>
      <c r="B155" t="s">
        <v>297</v>
      </c>
      <c r="C155" s="48">
        <v>2740000</v>
      </c>
    </row>
    <row r="156" spans="1:3">
      <c r="A156" t="s">
        <v>322</v>
      </c>
      <c r="B156" t="s">
        <v>297</v>
      </c>
      <c r="C156" s="48">
        <v>348437044.83999997</v>
      </c>
    </row>
    <row r="157" spans="1:3">
      <c r="A157" t="s">
        <v>323</v>
      </c>
      <c r="B157" t="s">
        <v>297</v>
      </c>
      <c r="C157" s="48">
        <v>397026510.25</v>
      </c>
    </row>
    <row r="159" spans="1:3">
      <c r="A159" t="s">
        <v>324</v>
      </c>
      <c r="B159" t="s">
        <v>297</v>
      </c>
      <c r="C159" s="48">
        <v>760000</v>
      </c>
    </row>
    <row r="160" spans="1:3">
      <c r="A160" t="s">
        <v>325</v>
      </c>
      <c r="B160" t="s">
        <v>297</v>
      </c>
      <c r="C160" s="48">
        <v>1980000</v>
      </c>
    </row>
    <row r="161" spans="1:8">
      <c r="A161" t="s">
        <v>326</v>
      </c>
      <c r="B161" t="s">
        <v>297</v>
      </c>
      <c r="C161" s="48">
        <v>190000</v>
      </c>
    </row>
    <row r="162" spans="1:8">
      <c r="A162" t="s">
        <v>327</v>
      </c>
      <c r="B162" t="s">
        <v>297</v>
      </c>
      <c r="C162" s="48">
        <v>1370000</v>
      </c>
    </row>
    <row r="163" spans="1:8">
      <c r="A163" t="s">
        <v>328</v>
      </c>
      <c r="B163" t="s">
        <v>297</v>
      </c>
      <c r="C163" s="48">
        <v>367617139.12</v>
      </c>
      <c r="E163" s="48">
        <f>SUM(C159:C162)+C156+C155</f>
        <v>355477044.83999997</v>
      </c>
    </row>
    <row r="164" spans="1:8">
      <c r="A164" t="s">
        <v>329</v>
      </c>
      <c r="C164" s="48">
        <v>29409371.129999999</v>
      </c>
    </row>
    <row r="168" spans="1:8">
      <c r="A168" t="s">
        <v>243</v>
      </c>
    </row>
    <row r="170" spans="1:8">
      <c r="A170" t="s">
        <v>330</v>
      </c>
      <c r="C170" t="s">
        <v>331</v>
      </c>
      <c r="D170" t="s">
        <v>332</v>
      </c>
      <c r="E170" t="s">
        <v>333</v>
      </c>
      <c r="F170" t="s">
        <v>334</v>
      </c>
      <c r="G170" t="s">
        <v>335</v>
      </c>
      <c r="H170" t="s">
        <v>336</v>
      </c>
    </row>
    <row r="172" spans="1:8">
      <c r="A172" t="s">
        <v>337</v>
      </c>
      <c r="B172" t="s">
        <v>179</v>
      </c>
      <c r="C172" s="48">
        <v>87888904</v>
      </c>
      <c r="E172" s="48">
        <v>87888904</v>
      </c>
    </row>
    <row r="173" spans="1:8">
      <c r="A173" t="s">
        <v>338</v>
      </c>
      <c r="B173" t="s">
        <v>179</v>
      </c>
      <c r="C173" s="48">
        <v>550517.69999999995</v>
      </c>
      <c r="F173" s="48">
        <v>16919</v>
      </c>
      <c r="G173" s="48">
        <v>550517.69999999995</v>
      </c>
    </row>
    <row r="174" spans="1:8">
      <c r="A174" t="s">
        <v>339</v>
      </c>
      <c r="B174" t="s">
        <v>179</v>
      </c>
      <c r="C174" s="48">
        <v>29088516</v>
      </c>
      <c r="E174" s="48">
        <v>16387426</v>
      </c>
      <c r="F174" s="48">
        <v>391048</v>
      </c>
      <c r="G174" s="48">
        <v>12701090</v>
      </c>
    </row>
    <row r="175" spans="1:8">
      <c r="A175" t="s">
        <v>340</v>
      </c>
      <c r="B175" t="s">
        <v>179</v>
      </c>
      <c r="C175" s="48">
        <v>1570387.4</v>
      </c>
      <c r="E175" s="48">
        <v>974963.8</v>
      </c>
      <c r="F175" s="48">
        <v>22743</v>
      </c>
      <c r="G175" s="48">
        <v>595423.6</v>
      </c>
    </row>
    <row r="176" spans="1:8">
      <c r="A176" t="s">
        <v>341</v>
      </c>
      <c r="B176" t="s">
        <v>179</v>
      </c>
      <c r="C176" s="48">
        <v>334385.2</v>
      </c>
      <c r="E176" s="48">
        <v>286162.5</v>
      </c>
      <c r="F176" s="48">
        <v>1607</v>
      </c>
      <c r="G176" s="48">
        <v>48222.6</v>
      </c>
    </row>
    <row r="177" spans="1:8">
      <c r="A177" t="s">
        <v>342</v>
      </c>
      <c r="B177" t="s">
        <v>179</v>
      </c>
      <c r="C177" s="48">
        <v>1521794.2</v>
      </c>
      <c r="E177" s="48">
        <v>1283153.6000000001</v>
      </c>
      <c r="F177" s="48">
        <v>7330</v>
      </c>
      <c r="G177" s="48">
        <v>238640.7</v>
      </c>
    </row>
    <row r="178" spans="1:8">
      <c r="A178" t="s">
        <v>343</v>
      </c>
      <c r="B178" t="s">
        <v>179</v>
      </c>
      <c r="C178" s="48">
        <v>4357876</v>
      </c>
      <c r="E178" s="48">
        <v>4007078.5</v>
      </c>
      <c r="F178" s="48">
        <v>11202</v>
      </c>
      <c r="G178" s="48">
        <v>350797.5</v>
      </c>
    </row>
    <row r="179" spans="1:8">
      <c r="A179" t="s">
        <v>344</v>
      </c>
      <c r="B179" t="s">
        <v>179</v>
      </c>
      <c r="C179" s="48">
        <v>2890263.8</v>
      </c>
      <c r="E179" s="48">
        <v>1606870.1</v>
      </c>
      <c r="F179" s="48">
        <v>53768</v>
      </c>
      <c r="G179" s="48">
        <v>1283393.5</v>
      </c>
    </row>
    <row r="180" spans="1:8">
      <c r="A180" t="s">
        <v>345</v>
      </c>
      <c r="B180" t="s">
        <v>179</v>
      </c>
      <c r="C180" s="48">
        <v>120116.6</v>
      </c>
      <c r="E180" s="48">
        <v>39539.4</v>
      </c>
      <c r="F180" s="48">
        <v>3363</v>
      </c>
      <c r="G180" s="48">
        <v>80577.2</v>
      </c>
    </row>
    <row r="181" spans="1:8">
      <c r="A181" t="s">
        <v>346</v>
      </c>
      <c r="B181" t="s">
        <v>179</v>
      </c>
      <c r="C181" s="48">
        <v>36462100</v>
      </c>
      <c r="D181" s="48">
        <v>5354700</v>
      </c>
      <c r="E181" s="48">
        <v>11528601</v>
      </c>
      <c r="H181" s="48">
        <v>19578800</v>
      </c>
    </row>
    <row r="182" spans="1:8">
      <c r="A182" t="s">
        <v>347</v>
      </c>
      <c r="B182" t="s">
        <v>179</v>
      </c>
      <c r="C182">
        <v>0</v>
      </c>
    </row>
    <row r="183" spans="1:8">
      <c r="A183" t="s">
        <v>348</v>
      </c>
      <c r="B183" t="s">
        <v>179</v>
      </c>
      <c r="C183" s="48">
        <v>4782905</v>
      </c>
      <c r="D183">
        <v>0</v>
      </c>
      <c r="E183" s="48">
        <v>3720080.5</v>
      </c>
      <c r="G183" s="48">
        <v>475459.9</v>
      </c>
      <c r="H183" s="48">
        <v>587364</v>
      </c>
    </row>
    <row r="184" spans="1:8">
      <c r="A184" t="s">
        <v>349</v>
      </c>
      <c r="B184" t="s">
        <v>179</v>
      </c>
      <c r="C184" s="48">
        <v>5000898.5</v>
      </c>
      <c r="D184" s="48">
        <v>257025.6</v>
      </c>
      <c r="E184" s="48">
        <v>2554455.2000000002</v>
      </c>
      <c r="G184" s="48">
        <v>979447.4</v>
      </c>
      <c r="H184" s="48">
        <v>1209970</v>
      </c>
    </row>
    <row r="185" spans="1:8">
      <c r="A185" t="s">
        <v>350</v>
      </c>
      <c r="B185" t="s">
        <v>179</v>
      </c>
      <c r="C185">
        <v>0</v>
      </c>
      <c r="D185">
        <v>0</v>
      </c>
      <c r="E185">
        <v>0</v>
      </c>
      <c r="G185">
        <v>0</v>
      </c>
      <c r="H185">
        <v>0</v>
      </c>
    </row>
    <row r="186" spans="1:8">
      <c r="A186" t="s">
        <v>351</v>
      </c>
      <c r="B186" t="s">
        <v>179</v>
      </c>
      <c r="C186" s="48">
        <v>31422358</v>
      </c>
      <c r="D186" s="48">
        <v>1010110.6</v>
      </c>
      <c r="E186" s="48">
        <v>23449900</v>
      </c>
      <c r="G186" s="48">
        <v>3114642.5</v>
      </c>
      <c r="H186" s="48">
        <v>3847704</v>
      </c>
    </row>
    <row r="187" spans="1:8">
      <c r="C187">
        <v>0</v>
      </c>
    </row>
    <row r="189" spans="1:8">
      <c r="A189" t="s">
        <v>352</v>
      </c>
      <c r="B189" t="s">
        <v>179</v>
      </c>
      <c r="C189" s="48">
        <v>205991022.40000001</v>
      </c>
    </row>
    <row r="190" spans="1:8">
      <c r="A190" t="s">
        <v>353</v>
      </c>
      <c r="B190" t="s">
        <v>179</v>
      </c>
      <c r="C190" s="48">
        <v>203444430.09</v>
      </c>
    </row>
    <row r="192" spans="1:8">
      <c r="A192" t="s">
        <v>243</v>
      </c>
    </row>
    <row r="193" spans="1:4">
      <c r="A193" t="s">
        <v>354</v>
      </c>
      <c r="C193" t="s">
        <v>179</v>
      </c>
      <c r="D193" t="s">
        <v>355</v>
      </c>
    </row>
    <row r="195" spans="1:4">
      <c r="A195" t="s">
        <v>356</v>
      </c>
      <c r="C195" s="48">
        <v>1145900</v>
      </c>
      <c r="D195" s="48">
        <v>9508</v>
      </c>
    </row>
    <row r="196" spans="1:4">
      <c r="A196" t="s">
        <v>357</v>
      </c>
      <c r="C196" s="48">
        <v>2038500</v>
      </c>
      <c r="D196" s="48">
        <v>18387</v>
      </c>
    </row>
    <row r="197" spans="1:4">
      <c r="A197" t="s">
        <v>358</v>
      </c>
      <c r="C197" s="48">
        <v>685400</v>
      </c>
    </row>
    <row r="198" spans="1:4">
      <c r="A198" t="s">
        <v>359</v>
      </c>
      <c r="C198" s="48">
        <v>1484900</v>
      </c>
      <c r="D198" s="48">
        <v>14425</v>
      </c>
    </row>
    <row r="199" spans="1:4">
      <c r="A199" t="s">
        <v>360</v>
      </c>
      <c r="C199" s="48">
        <v>5354700</v>
      </c>
    </row>
    <row r="200" spans="1:4">
      <c r="A200" t="s">
        <v>243</v>
      </c>
    </row>
    <row r="202" spans="1:4">
      <c r="A202" t="s">
        <v>361</v>
      </c>
    </row>
    <row r="204" spans="1:4">
      <c r="A204" t="s">
        <v>362</v>
      </c>
      <c r="B204" t="s">
        <v>363</v>
      </c>
      <c r="C204" s="48">
        <v>1860.01</v>
      </c>
    </row>
    <row r="205" spans="1:4">
      <c r="A205" t="s">
        <v>319</v>
      </c>
      <c r="B205" t="s">
        <v>364</v>
      </c>
      <c r="C205" s="48">
        <v>14880094.279999999</v>
      </c>
    </row>
    <row r="207" spans="1:4">
      <c r="A207" t="s">
        <v>365</v>
      </c>
      <c r="B207" t="s">
        <v>363</v>
      </c>
      <c r="C207" s="48">
        <v>126143.61</v>
      </c>
    </row>
    <row r="208" spans="1:4">
      <c r="A208" t="s">
        <v>320</v>
      </c>
      <c r="B208" t="s">
        <v>364</v>
      </c>
      <c r="C208" s="48">
        <v>1009148872</v>
      </c>
    </row>
    <row r="211" spans="1:3">
      <c r="A211" t="s">
        <v>366</v>
      </c>
      <c r="C211" t="s">
        <v>574</v>
      </c>
    </row>
    <row r="212" spans="1:3">
      <c r="A212" t="s">
        <v>367</v>
      </c>
      <c r="B212" t="s">
        <v>560</v>
      </c>
      <c r="C212" s="48">
        <v>60867.71</v>
      </c>
    </row>
    <row r="213" spans="1:3">
      <c r="A213" t="s">
        <v>368</v>
      </c>
      <c r="B213" t="s">
        <v>561</v>
      </c>
      <c r="C213">
        <v>0.99</v>
      </c>
    </row>
    <row r="214" spans="1:3">
      <c r="A214" t="s">
        <v>369</v>
      </c>
      <c r="C214" t="s">
        <v>516</v>
      </c>
    </row>
    <row r="215" spans="1:3">
      <c r="A215" t="s">
        <v>370</v>
      </c>
      <c r="B215" t="s">
        <v>562</v>
      </c>
      <c r="C215" s="48">
        <v>486941709.51999998</v>
      </c>
    </row>
    <row r="216" spans="1:3">
      <c r="A216" t="s">
        <v>371</v>
      </c>
      <c r="B216" t="s">
        <v>210</v>
      </c>
      <c r="C216" s="48">
        <v>482072292.42000002</v>
      </c>
    </row>
    <row r="217" spans="1:3">
      <c r="A217" t="s">
        <v>372</v>
      </c>
      <c r="B217" t="s">
        <v>210</v>
      </c>
      <c r="C217" s="48">
        <v>527076579.57999998</v>
      </c>
    </row>
    <row r="220" spans="1:3">
      <c r="A220" t="s">
        <v>243</v>
      </c>
    </row>
    <row r="222" spans="1:3">
      <c r="A222" t="s">
        <v>373</v>
      </c>
    </row>
    <row r="224" spans="1:3">
      <c r="A224" t="s">
        <v>374</v>
      </c>
    </row>
    <row r="225" spans="1:3">
      <c r="A225" t="s">
        <v>375</v>
      </c>
      <c r="C225">
        <v>3</v>
      </c>
    </row>
    <row r="226" spans="1:3">
      <c r="A226" t="s">
        <v>376</v>
      </c>
      <c r="B226" t="s">
        <v>377</v>
      </c>
      <c r="C226">
        <v>20</v>
      </c>
    </row>
    <row r="227" spans="1:3">
      <c r="A227" t="s">
        <v>378</v>
      </c>
      <c r="B227" t="s">
        <v>297</v>
      </c>
      <c r="C227" s="48">
        <v>480000</v>
      </c>
    </row>
    <row r="229" spans="1:3">
      <c r="A229" t="s">
        <v>379</v>
      </c>
    </row>
    <row r="230" spans="1:3">
      <c r="A230" t="s">
        <v>380</v>
      </c>
      <c r="C230" s="48">
        <v>1980000</v>
      </c>
    </row>
    <row r="231" spans="1:3">
      <c r="A231" t="s">
        <v>381</v>
      </c>
      <c r="B231" t="s">
        <v>297</v>
      </c>
      <c r="C231" s="48">
        <v>1980000</v>
      </c>
    </row>
    <row r="233" spans="1:3">
      <c r="A233" t="s">
        <v>382</v>
      </c>
    </row>
    <row r="234" spans="1:3">
      <c r="A234" t="s">
        <v>383</v>
      </c>
      <c r="C234">
        <v>1</v>
      </c>
    </row>
    <row r="235" spans="1:3">
      <c r="A235" t="s">
        <v>376</v>
      </c>
      <c r="B235" t="s">
        <v>384</v>
      </c>
      <c r="C235">
        <v>35</v>
      </c>
    </row>
    <row r="236" spans="1:3">
      <c r="A236" t="s">
        <v>385</v>
      </c>
      <c r="B236" t="s">
        <v>297</v>
      </c>
      <c r="C236" s="48">
        <v>280000</v>
      </c>
    </row>
    <row r="248" spans="1:3">
      <c r="A248" t="s">
        <v>243</v>
      </c>
    </row>
    <row r="250" spans="1:3">
      <c r="A250" t="s">
        <v>386</v>
      </c>
    </row>
    <row r="253" spans="1:3">
      <c r="A253" t="s">
        <v>387</v>
      </c>
    </row>
    <row r="254" spans="1:3">
      <c r="A254" t="s">
        <v>388</v>
      </c>
      <c r="B254" t="s">
        <v>389</v>
      </c>
      <c r="C254" s="48">
        <v>37473.699999999997</v>
      </c>
    </row>
    <row r="255" spans="1:3">
      <c r="A255" t="s">
        <v>376</v>
      </c>
      <c r="B255" t="s">
        <v>390</v>
      </c>
      <c r="C255">
        <v>0.08</v>
      </c>
    </row>
    <row r="256" spans="1:3">
      <c r="A256" t="s">
        <v>391</v>
      </c>
      <c r="B256" t="s">
        <v>297</v>
      </c>
      <c r="C256" s="48">
        <v>23233694</v>
      </c>
    </row>
    <row r="257" spans="1:3">
      <c r="A257" t="s">
        <v>392</v>
      </c>
    </row>
    <row r="258" spans="1:3">
      <c r="A258" t="s">
        <v>388</v>
      </c>
    </row>
    <row r="259" spans="1:3">
      <c r="A259" t="s">
        <v>376</v>
      </c>
      <c r="B259" t="s">
        <v>393</v>
      </c>
      <c r="C259">
        <v>0</v>
      </c>
    </row>
    <row r="260" spans="1:3">
      <c r="A260" t="s">
        <v>394</v>
      </c>
      <c r="B260" t="s">
        <v>297</v>
      </c>
      <c r="C260">
        <v>0</v>
      </c>
    </row>
    <row r="261" spans="1:3">
      <c r="A261" t="s">
        <v>395</v>
      </c>
    </row>
    <row r="262" spans="1:3">
      <c r="A262" t="s">
        <v>388</v>
      </c>
    </row>
    <row r="263" spans="1:3">
      <c r="A263" t="s">
        <v>376</v>
      </c>
      <c r="B263" t="s">
        <v>396</v>
      </c>
      <c r="C263">
        <v>26.81</v>
      </c>
    </row>
    <row r="264" spans="1:3">
      <c r="A264" t="s">
        <v>397</v>
      </c>
      <c r="B264" t="s">
        <v>297</v>
      </c>
      <c r="C264">
        <v>0</v>
      </c>
    </row>
    <row r="265" spans="1:3">
      <c r="A265" t="s">
        <v>398</v>
      </c>
    </row>
    <row r="266" spans="1:3">
      <c r="A266" t="s">
        <v>388</v>
      </c>
    </row>
    <row r="267" spans="1:3">
      <c r="A267" t="s">
        <v>376</v>
      </c>
      <c r="B267" t="s">
        <v>393</v>
      </c>
      <c r="C267">
        <v>0</v>
      </c>
    </row>
    <row r="268" spans="1:3">
      <c r="A268" t="s">
        <v>399</v>
      </c>
      <c r="B268" t="s">
        <v>297</v>
      </c>
      <c r="C268">
        <v>0</v>
      </c>
    </row>
    <row r="269" spans="1:3">
      <c r="A269" t="s">
        <v>400</v>
      </c>
      <c r="B269" t="s">
        <v>297</v>
      </c>
      <c r="C269" s="48">
        <v>23233694</v>
      </c>
    </row>
    <row r="274" spans="3:3">
      <c r="C274">
        <v>0</v>
      </c>
    </row>
    <row r="275" spans="3:3">
      <c r="C275">
        <v>0</v>
      </c>
    </row>
    <row r="276" spans="3:3">
      <c r="C276">
        <v>0</v>
      </c>
    </row>
    <row r="278" spans="3:3">
      <c r="C278">
        <v>0</v>
      </c>
    </row>
    <row r="279" spans="3:3">
      <c r="C279">
        <v>0</v>
      </c>
    </row>
    <row r="280" spans="3:3">
      <c r="C280">
        <v>0</v>
      </c>
    </row>
    <row r="282" spans="3:3">
      <c r="C282">
        <v>0</v>
      </c>
    </row>
    <row r="283" spans="3:3">
      <c r="C283">
        <v>0</v>
      </c>
    </row>
    <row r="284" spans="3:3">
      <c r="C284">
        <v>0</v>
      </c>
    </row>
    <row r="286" spans="3:3">
      <c r="C286">
        <v>0</v>
      </c>
    </row>
    <row r="287" spans="3:3">
      <c r="C287">
        <v>0</v>
      </c>
    </row>
    <row r="288" spans="3:3">
      <c r="C288">
        <v>0</v>
      </c>
    </row>
    <row r="290" spans="3:3">
      <c r="C290">
        <v>0</v>
      </c>
    </row>
    <row r="291" spans="3:3">
      <c r="C291">
        <v>0</v>
      </c>
    </row>
    <row r="292" spans="3:3">
      <c r="C292">
        <v>0</v>
      </c>
    </row>
    <row r="294" spans="3:3">
      <c r="C294">
        <v>0</v>
      </c>
    </row>
    <row r="295" spans="3:3">
      <c r="C295">
        <v>0</v>
      </c>
    </row>
    <row r="296" spans="3:3">
      <c r="C296">
        <v>0</v>
      </c>
    </row>
    <row r="298" spans="3:3">
      <c r="C298">
        <v>0</v>
      </c>
    </row>
    <row r="299" spans="3:3">
      <c r="C299">
        <v>0</v>
      </c>
    </row>
    <row r="300" spans="3:3">
      <c r="C300">
        <v>0</v>
      </c>
    </row>
    <row r="302" spans="3:3">
      <c r="C302">
        <v>0</v>
      </c>
    </row>
    <row r="303" spans="3:3">
      <c r="C303">
        <v>0</v>
      </c>
    </row>
    <row r="304" spans="3:3">
      <c r="C304">
        <v>0</v>
      </c>
    </row>
    <row r="306" spans="3:3">
      <c r="C306">
        <v>0</v>
      </c>
    </row>
    <row r="307" spans="3:3">
      <c r="C307">
        <v>0</v>
      </c>
    </row>
    <row r="308" spans="3:3">
      <c r="C308">
        <v>0</v>
      </c>
    </row>
    <row r="310" spans="3:3">
      <c r="C310">
        <v>0</v>
      </c>
    </row>
    <row r="311" spans="3:3">
      <c r="C311">
        <v>0</v>
      </c>
    </row>
    <row r="312" spans="3:3">
      <c r="C312">
        <v>0</v>
      </c>
    </row>
    <row r="314" spans="3:3">
      <c r="C314">
        <v>0</v>
      </c>
    </row>
    <row r="315" spans="3:3">
      <c r="C315">
        <v>0</v>
      </c>
    </row>
    <row r="316" spans="3:3">
      <c r="C316">
        <v>0</v>
      </c>
    </row>
    <row r="318" spans="3:3">
      <c r="C318">
        <v>0</v>
      </c>
    </row>
    <row r="319" spans="3:3">
      <c r="C319">
        <v>0</v>
      </c>
    </row>
    <row r="320" spans="3:3">
      <c r="C320">
        <v>0</v>
      </c>
    </row>
    <row r="322" spans="3:3">
      <c r="C322">
        <v>0</v>
      </c>
    </row>
    <row r="323" spans="3:3">
      <c r="C323">
        <v>0</v>
      </c>
    </row>
    <row r="324" spans="3:3">
      <c r="C324">
        <v>0</v>
      </c>
    </row>
    <row r="326" spans="3:3">
      <c r="C326">
        <v>0</v>
      </c>
    </row>
    <row r="327" spans="3:3">
      <c r="C327">
        <v>0</v>
      </c>
    </row>
    <row r="328" spans="3:3">
      <c r="C328">
        <v>0</v>
      </c>
    </row>
    <row r="330" spans="3:3">
      <c r="C330">
        <v>0</v>
      </c>
    </row>
    <row r="331" spans="3:3">
      <c r="C331">
        <v>0</v>
      </c>
    </row>
    <row r="332" spans="3:3">
      <c r="C332">
        <v>0</v>
      </c>
    </row>
    <row r="334" spans="3:3">
      <c r="C334">
        <v>0</v>
      </c>
    </row>
    <row r="335" spans="3:3">
      <c r="C335">
        <v>0</v>
      </c>
    </row>
    <row r="336" spans="3:3">
      <c r="C336">
        <v>0</v>
      </c>
    </row>
    <row r="338" spans="1:3">
      <c r="C338">
        <v>0</v>
      </c>
    </row>
    <row r="339" spans="1:3">
      <c r="C339">
        <v>0</v>
      </c>
    </row>
    <row r="340" spans="1:3">
      <c r="C340">
        <v>0</v>
      </c>
    </row>
    <row r="342" spans="1:3">
      <c r="C342">
        <v>0</v>
      </c>
    </row>
    <row r="343" spans="1:3">
      <c r="C343">
        <v>0</v>
      </c>
    </row>
    <row r="344" spans="1:3">
      <c r="C344">
        <v>0</v>
      </c>
    </row>
    <row r="346" spans="1:3">
      <c r="C346">
        <v>0</v>
      </c>
    </row>
    <row r="347" spans="1:3">
      <c r="C347">
        <v>0</v>
      </c>
    </row>
    <row r="348" spans="1:3">
      <c r="C348">
        <v>0</v>
      </c>
    </row>
    <row r="350" spans="1:3">
      <c r="C350">
        <v>0</v>
      </c>
    </row>
    <row r="351" spans="1:3">
      <c r="C351">
        <v>0</v>
      </c>
    </row>
    <row r="352" spans="1:3">
      <c r="A352" t="s">
        <v>401</v>
      </c>
      <c r="B352" t="s">
        <v>297</v>
      </c>
      <c r="C352">
        <v>0</v>
      </c>
    </row>
    <row r="353" spans="1:3">
      <c r="A353" t="s">
        <v>402</v>
      </c>
      <c r="B353" t="s">
        <v>297</v>
      </c>
      <c r="C353" s="48">
        <v>325203350.83999997</v>
      </c>
    </row>
  </sheetData>
  <phoneticPr fontId="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194"/>
  <sheetViews>
    <sheetView zoomScaleNormal="100" workbookViewId="0">
      <selection sqref="A1:XFD1048576"/>
    </sheetView>
  </sheetViews>
  <sheetFormatPr defaultRowHeight="16.5"/>
  <cols>
    <col min="1" max="1" width="59" customWidth="1"/>
    <col min="2" max="2" width="16.5" bestFit="1" customWidth="1"/>
    <col min="3" max="3" width="15.5" bestFit="1" customWidth="1"/>
    <col min="4" max="4" width="13.875" bestFit="1" customWidth="1"/>
    <col min="5" max="5" width="14.5" bestFit="1" customWidth="1"/>
    <col min="6" max="6" width="13.875" bestFit="1" customWidth="1"/>
    <col min="7" max="11" width="15.5" bestFit="1" customWidth="1"/>
    <col min="12" max="26" width="16.5" bestFit="1" customWidth="1"/>
    <col min="27" max="53" width="17.5" bestFit="1" customWidth="1"/>
  </cols>
  <sheetData>
    <row r="1" spans="1:33">
      <c r="A1" t="s">
        <v>403</v>
      </c>
      <c r="B1" t="s">
        <v>217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</row>
    <row r="5" spans="1:33">
      <c r="A5" t="s">
        <v>240</v>
      </c>
      <c r="B5" t="s">
        <v>241</v>
      </c>
    </row>
    <row r="7" spans="1:33">
      <c r="A7" t="s">
        <v>404</v>
      </c>
      <c r="B7" t="s">
        <v>283</v>
      </c>
      <c r="C7">
        <v>52</v>
      </c>
    </row>
    <row r="8" spans="1:33">
      <c r="A8" t="s">
        <v>405</v>
      </c>
      <c r="B8" t="s">
        <v>285</v>
      </c>
      <c r="C8">
        <v>30</v>
      </c>
    </row>
    <row r="9" spans="1:33">
      <c r="A9" t="s">
        <v>406</v>
      </c>
      <c r="B9" t="s">
        <v>285</v>
      </c>
      <c r="C9">
        <v>1.85</v>
      </c>
    </row>
    <row r="10" spans="1:33">
      <c r="A10" t="s">
        <v>407</v>
      </c>
      <c r="B10" t="s">
        <v>285</v>
      </c>
      <c r="C10">
        <v>2.23</v>
      </c>
    </row>
    <row r="11" spans="1:33">
      <c r="A11" t="s">
        <v>408</v>
      </c>
      <c r="B11" t="s">
        <v>294</v>
      </c>
      <c r="C11">
        <v>5</v>
      </c>
    </row>
    <row r="12" spans="1:33">
      <c r="A12" t="s">
        <v>409</v>
      </c>
      <c r="B12" t="s">
        <v>294</v>
      </c>
      <c r="C12">
        <v>25</v>
      </c>
    </row>
    <row r="13" spans="1:33">
      <c r="A13" t="s">
        <v>410</v>
      </c>
      <c r="B13" t="s">
        <v>294</v>
      </c>
      <c r="C13">
        <v>50</v>
      </c>
    </row>
    <row r="14" spans="1:33">
      <c r="A14" t="s">
        <v>411</v>
      </c>
      <c r="B14" t="s">
        <v>179</v>
      </c>
      <c r="C14" s="48">
        <v>203444430.09</v>
      </c>
    </row>
    <row r="15" spans="1:33">
      <c r="A15" t="s">
        <v>412</v>
      </c>
      <c r="B15" t="s">
        <v>297</v>
      </c>
      <c r="C15" s="48">
        <v>14880094.279999999</v>
      </c>
    </row>
    <row r="16" spans="1:33">
      <c r="A16" t="s">
        <v>413</v>
      </c>
      <c r="B16" t="s">
        <v>297</v>
      </c>
      <c r="C16" s="48">
        <v>1009148872</v>
      </c>
    </row>
    <row r="17" spans="1:3">
      <c r="A17" t="s">
        <v>414</v>
      </c>
      <c r="B17" t="s">
        <v>297</v>
      </c>
      <c r="C17" s="48">
        <v>2740000</v>
      </c>
    </row>
    <row r="18" spans="1:3">
      <c r="A18" t="s">
        <v>415</v>
      </c>
      <c r="B18" t="s">
        <v>297</v>
      </c>
      <c r="C18" s="48">
        <v>348437044.83999997</v>
      </c>
    </row>
    <row r="19" spans="1:3">
      <c r="A19" t="s">
        <v>416</v>
      </c>
      <c r="B19" t="s">
        <v>294</v>
      </c>
      <c r="C19">
        <v>8</v>
      </c>
    </row>
    <row r="20" spans="1:3">
      <c r="A20" t="s">
        <v>417</v>
      </c>
      <c r="C20">
        <v>12.5</v>
      </c>
    </row>
    <row r="21" spans="1:3">
      <c r="A21" t="s">
        <v>418</v>
      </c>
      <c r="B21" t="s">
        <v>294</v>
      </c>
      <c r="C21">
        <v>35</v>
      </c>
    </row>
    <row r="22" spans="1:3">
      <c r="A22" t="s">
        <v>419</v>
      </c>
      <c r="C22">
        <v>1.08</v>
      </c>
    </row>
    <row r="23" spans="1:3">
      <c r="A23" t="s">
        <v>420</v>
      </c>
      <c r="B23" t="s">
        <v>285</v>
      </c>
      <c r="C23">
        <v>30</v>
      </c>
    </row>
    <row r="24" spans="1:3">
      <c r="A24" t="s">
        <v>421</v>
      </c>
      <c r="B24" t="s">
        <v>308</v>
      </c>
      <c r="C24">
        <v>20</v>
      </c>
    </row>
    <row r="25" spans="1:3">
      <c r="A25" t="s">
        <v>422</v>
      </c>
      <c r="C25" t="s">
        <v>310</v>
      </c>
    </row>
    <row r="26" spans="1:3">
      <c r="A26" t="s">
        <v>423</v>
      </c>
      <c r="C26">
        <v>1</v>
      </c>
    </row>
    <row r="27" spans="1:3">
      <c r="A27" t="s">
        <v>424</v>
      </c>
      <c r="B27" t="s">
        <v>294</v>
      </c>
      <c r="C27">
        <v>5</v>
      </c>
    </row>
    <row r="28" spans="1:3">
      <c r="A28" t="s">
        <v>425</v>
      </c>
      <c r="B28" t="s">
        <v>294</v>
      </c>
      <c r="C28">
        <v>5</v>
      </c>
    </row>
    <row r="29" spans="1:3">
      <c r="A29" t="s">
        <v>426</v>
      </c>
      <c r="B29" t="s">
        <v>294</v>
      </c>
      <c r="C29">
        <v>3.5</v>
      </c>
    </row>
    <row r="30" spans="1:3">
      <c r="A30" t="s">
        <v>427</v>
      </c>
      <c r="B30" t="s">
        <v>294</v>
      </c>
      <c r="C30">
        <v>3</v>
      </c>
    </row>
    <row r="31" spans="1:3">
      <c r="A31" t="s">
        <v>428</v>
      </c>
      <c r="B31" t="s">
        <v>294</v>
      </c>
      <c r="C31">
        <v>3</v>
      </c>
    </row>
    <row r="32" spans="1:3">
      <c r="A32" t="s">
        <v>429</v>
      </c>
      <c r="B32" t="s">
        <v>285</v>
      </c>
      <c r="C32">
        <v>2</v>
      </c>
    </row>
    <row r="33" spans="1:3">
      <c r="A33" t="s">
        <v>430</v>
      </c>
      <c r="B33" t="s">
        <v>285</v>
      </c>
    </row>
    <row r="34" spans="1:3">
      <c r="A34" t="s">
        <v>431</v>
      </c>
      <c r="B34" t="s">
        <v>285</v>
      </c>
    </row>
    <row r="35" spans="1:3">
      <c r="A35" t="s">
        <v>432</v>
      </c>
      <c r="B35" t="s">
        <v>433</v>
      </c>
      <c r="C35">
        <v>10.5</v>
      </c>
    </row>
    <row r="36" spans="1:3">
      <c r="A36" t="s">
        <v>434</v>
      </c>
      <c r="B36" t="s">
        <v>285</v>
      </c>
      <c r="C36">
        <v>31</v>
      </c>
    </row>
    <row r="37" spans="1:3">
      <c r="A37" t="s">
        <v>435</v>
      </c>
      <c r="B37" t="s">
        <v>433</v>
      </c>
      <c r="C37">
        <v>8</v>
      </c>
    </row>
    <row r="38" spans="1:3">
      <c r="A38" t="s">
        <v>436</v>
      </c>
      <c r="B38" t="s">
        <v>285</v>
      </c>
      <c r="C38">
        <v>0.65</v>
      </c>
    </row>
    <row r="39" spans="1:3">
      <c r="A39" t="s">
        <v>437</v>
      </c>
      <c r="B39" t="s">
        <v>297</v>
      </c>
      <c r="C39" s="48">
        <v>760000</v>
      </c>
    </row>
    <row r="40" spans="1:3">
      <c r="A40" t="s">
        <v>438</v>
      </c>
      <c r="B40" t="s">
        <v>297</v>
      </c>
      <c r="C40" s="48">
        <v>1980000</v>
      </c>
    </row>
    <row r="51" spans="1:53">
      <c r="A51" t="s">
        <v>439</v>
      </c>
    </row>
    <row r="52" spans="1:53">
      <c r="A52" t="s">
        <v>440</v>
      </c>
      <c r="B52" t="s">
        <v>364</v>
      </c>
      <c r="C52">
        <v>0</v>
      </c>
      <c r="D52">
        <v>0</v>
      </c>
      <c r="E52">
        <v>0</v>
      </c>
      <c r="F52" s="48">
        <v>898627663.80999994</v>
      </c>
      <c r="G52" s="48">
        <v>1226626761.0999999</v>
      </c>
      <c r="H52" s="48">
        <v>1287958099.1500001</v>
      </c>
      <c r="I52" s="48">
        <v>1352356004.1099999</v>
      </c>
      <c r="J52" s="48">
        <v>1419973804.3099999</v>
      </c>
      <c r="K52" s="48">
        <v>1490972494.53</v>
      </c>
      <c r="L52" s="48">
        <v>1565521119.26</v>
      </c>
      <c r="M52" s="48">
        <v>1643797175.22</v>
      </c>
      <c r="N52" s="48">
        <v>1725987033.98</v>
      </c>
      <c r="O52" s="48">
        <v>1812286385.6800001</v>
      </c>
      <c r="P52" s="48">
        <v>1902900704.96</v>
      </c>
      <c r="Q52" s="48">
        <v>1998045740.21</v>
      </c>
      <c r="R52" s="48">
        <v>2097948027.22</v>
      </c>
      <c r="S52" s="48">
        <v>2202845428.5799999</v>
      </c>
      <c r="T52" s="48">
        <v>2312987700.0100002</v>
      </c>
      <c r="U52" s="48">
        <v>2428637085.0100002</v>
      </c>
      <c r="V52" s="48">
        <v>2550068939.2600002</v>
      </c>
      <c r="W52" s="48">
        <v>2677572386.23</v>
      </c>
      <c r="X52" s="48">
        <v>2811451005.54</v>
      </c>
      <c r="Y52" s="48">
        <v>2952023555.8099999</v>
      </c>
      <c r="Z52" s="48">
        <v>3099624733.6100001</v>
      </c>
      <c r="AA52" s="48">
        <v>3254605970.29</v>
      </c>
      <c r="AB52" s="48">
        <v>3417336268.8000002</v>
      </c>
      <c r="AC52" s="48">
        <v>3588203082.2399998</v>
      </c>
      <c r="AD52" s="48">
        <v>3767613236.3499999</v>
      </c>
      <c r="AE52" s="48">
        <v>3955993898.1700001</v>
      </c>
      <c r="AF52" s="48">
        <v>4153793593.0799999</v>
      </c>
      <c r="AG52" s="48">
        <v>4361483272.7299995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>
      <c r="A53" t="s">
        <v>441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>
      <c r="A54" t="s">
        <v>442</v>
      </c>
      <c r="B54" t="s">
        <v>364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>
      <c r="A55" t="s">
        <v>443</v>
      </c>
      <c r="B55" t="s">
        <v>364</v>
      </c>
      <c r="C55">
        <v>0</v>
      </c>
      <c r="D55">
        <v>0</v>
      </c>
      <c r="E55">
        <v>0</v>
      </c>
      <c r="F55" s="48">
        <v>898627663.80999994</v>
      </c>
      <c r="G55" s="48">
        <v>1226626761.0999999</v>
      </c>
      <c r="H55" s="48">
        <v>1287958099.1500001</v>
      </c>
      <c r="I55" s="48">
        <v>1352356004.1099999</v>
      </c>
      <c r="J55" s="48">
        <v>1419973804.3099999</v>
      </c>
      <c r="K55" s="48">
        <v>1490972494.53</v>
      </c>
      <c r="L55" s="48">
        <v>1565521119.26</v>
      </c>
      <c r="M55" s="48">
        <v>1643797175.22</v>
      </c>
      <c r="N55" s="48">
        <v>1725987033.98</v>
      </c>
      <c r="O55" s="48">
        <v>1812286385.6800001</v>
      </c>
      <c r="P55" s="48">
        <v>1902900704.96</v>
      </c>
      <c r="Q55" s="48">
        <v>1998045740.21</v>
      </c>
      <c r="R55" s="48">
        <v>2097948027.22</v>
      </c>
      <c r="S55" s="48">
        <v>2202845428.5799999</v>
      </c>
      <c r="T55" s="48">
        <v>2312987700.0100002</v>
      </c>
      <c r="U55" s="48">
        <v>2428637085.0100002</v>
      </c>
      <c r="V55" s="48">
        <v>2550068939.2600002</v>
      </c>
      <c r="W55" s="48">
        <v>2677572386.23</v>
      </c>
      <c r="X55" s="48">
        <v>2811451005.54</v>
      </c>
      <c r="Y55" s="48">
        <v>2952023555.8099999</v>
      </c>
      <c r="Z55" s="48">
        <v>3099624733.6100001</v>
      </c>
      <c r="AA55" s="48">
        <v>3254605970.29</v>
      </c>
      <c r="AB55" s="48">
        <v>3417336268.8000002</v>
      </c>
      <c r="AC55" s="48">
        <v>3588203082.2399998</v>
      </c>
      <c r="AD55" s="48">
        <v>3767613236.3499999</v>
      </c>
      <c r="AE55" s="48">
        <v>3955993898.1700001</v>
      </c>
      <c r="AF55" s="48">
        <v>4153793593.0799999</v>
      </c>
      <c r="AG55" s="48">
        <v>4361483272.7299995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61" spans="1:53">
      <c r="A61" t="s">
        <v>444</v>
      </c>
    </row>
    <row r="62" spans="1:53">
      <c r="A62" t="s">
        <v>445</v>
      </c>
      <c r="B62" t="s">
        <v>364</v>
      </c>
      <c r="C62">
        <v>0</v>
      </c>
      <c r="D62" s="48">
        <v>96127493.219999999</v>
      </c>
      <c r="E62" s="48">
        <v>128489144.41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 spans="1:53">
      <c r="A63" t="s">
        <v>446</v>
      </c>
      <c r="B63" t="s">
        <v>364</v>
      </c>
      <c r="C63">
        <v>0</v>
      </c>
      <c r="D63" s="48">
        <v>91549993.540000007</v>
      </c>
      <c r="E63" s="48">
        <v>203444430.09</v>
      </c>
      <c r="F63" s="48">
        <v>203444430.09</v>
      </c>
      <c r="G63" s="48">
        <v>203444430.09</v>
      </c>
      <c r="H63" s="48">
        <v>203444430.09</v>
      </c>
      <c r="I63" s="48">
        <v>203444430.09</v>
      </c>
      <c r="J63" s="48">
        <v>203444430.09</v>
      </c>
      <c r="K63" s="48">
        <v>203444430.09</v>
      </c>
      <c r="L63" s="48">
        <v>203444430.09</v>
      </c>
      <c r="M63" s="48">
        <v>203444430.09</v>
      </c>
      <c r="N63" s="48">
        <v>203444430.09</v>
      </c>
      <c r="O63" s="48">
        <v>203444430.09</v>
      </c>
      <c r="P63" s="48">
        <v>203444430.09</v>
      </c>
      <c r="Q63" s="48">
        <v>203444430.09</v>
      </c>
      <c r="R63" s="48">
        <v>203444430.09</v>
      </c>
      <c r="S63" s="48">
        <v>203444430.09</v>
      </c>
      <c r="T63" s="48">
        <v>203444430.09</v>
      </c>
      <c r="U63" s="48">
        <v>203444430.09</v>
      </c>
      <c r="V63" s="48">
        <v>203444430.09</v>
      </c>
      <c r="W63" s="48">
        <v>203444430.09</v>
      </c>
      <c r="X63" s="48">
        <v>203444430.09</v>
      </c>
      <c r="Y63" s="48">
        <v>203444430.09</v>
      </c>
      <c r="Z63" s="48">
        <v>203444430.09</v>
      </c>
      <c r="AA63" s="48">
        <v>203444430.09</v>
      </c>
      <c r="AB63" s="48">
        <v>203444430.09</v>
      </c>
      <c r="AC63" s="48">
        <v>203444430.09</v>
      </c>
      <c r="AD63" s="48">
        <v>203444430.09</v>
      </c>
      <c r="AE63" s="48">
        <v>203444430.09</v>
      </c>
      <c r="AF63" s="48">
        <v>203444430.09</v>
      </c>
      <c r="AG63" s="48">
        <v>203444430.09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 spans="1:53">
      <c r="A64" t="s">
        <v>447</v>
      </c>
      <c r="B64" t="s">
        <v>297</v>
      </c>
      <c r="C64">
        <v>0</v>
      </c>
      <c r="D64" s="48">
        <v>96127493.219999999</v>
      </c>
      <c r="E64" s="48">
        <v>118316922.90000001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</row>
    <row r="65" spans="1:53">
      <c r="A65" t="s">
        <v>448</v>
      </c>
      <c r="B65" t="s">
        <v>297</v>
      </c>
      <c r="C65">
        <v>0</v>
      </c>
      <c r="D65" s="48">
        <v>96127493.219999999</v>
      </c>
      <c r="E65" s="48">
        <v>214444416.12</v>
      </c>
      <c r="F65" s="48">
        <v>214444416.12</v>
      </c>
      <c r="G65" s="48">
        <v>214444416.12</v>
      </c>
      <c r="H65" s="48">
        <v>214444416.12</v>
      </c>
      <c r="I65" s="48">
        <v>214444416.12</v>
      </c>
      <c r="J65" s="48">
        <v>214444416.12</v>
      </c>
      <c r="K65" s="48">
        <v>214444416.12</v>
      </c>
      <c r="L65" s="48">
        <v>214444416.12</v>
      </c>
      <c r="M65" s="48">
        <v>214444416.12</v>
      </c>
      <c r="N65" s="48">
        <v>214444416.12</v>
      </c>
      <c r="O65" s="48">
        <v>214444416.12</v>
      </c>
      <c r="P65" s="48">
        <v>214444416.12</v>
      </c>
      <c r="Q65" s="48">
        <v>214444416.12</v>
      </c>
      <c r="R65" s="48">
        <v>214444416.12</v>
      </c>
      <c r="S65" s="48">
        <v>214444416.12</v>
      </c>
      <c r="T65" s="48">
        <v>214444416.12</v>
      </c>
      <c r="U65" s="48">
        <v>214444416.12</v>
      </c>
      <c r="V65" s="48">
        <v>214444416.12</v>
      </c>
      <c r="W65" s="48">
        <v>214444416.12</v>
      </c>
      <c r="X65" s="48">
        <v>214444416.12</v>
      </c>
      <c r="Y65" s="48">
        <v>214444416.12</v>
      </c>
      <c r="Z65" s="48">
        <v>214444416.12</v>
      </c>
      <c r="AA65" s="48">
        <v>214444416.12</v>
      </c>
      <c r="AB65" s="48">
        <v>214444416.12</v>
      </c>
      <c r="AC65" s="48">
        <v>214444416.12</v>
      </c>
      <c r="AD65" s="48">
        <v>214444416.12</v>
      </c>
      <c r="AE65" s="48">
        <v>214444416.12</v>
      </c>
      <c r="AF65" s="48">
        <v>214444416.12</v>
      </c>
      <c r="AG65" s="48">
        <v>214444416.12</v>
      </c>
      <c r="AH65" s="48">
        <v>214444416.12</v>
      </c>
      <c r="AI65" s="48">
        <v>214444416.12</v>
      </c>
      <c r="AJ65" s="48">
        <v>214444416.12</v>
      </c>
      <c r="AK65" s="48">
        <v>214444416.12</v>
      </c>
      <c r="AL65" s="48">
        <v>214444416.12</v>
      </c>
      <c r="AM65" s="48">
        <v>214444416.12</v>
      </c>
      <c r="AN65" s="48">
        <v>214444416.12</v>
      </c>
      <c r="AO65" s="48">
        <v>214444416.12</v>
      </c>
      <c r="AP65" s="48">
        <v>214444416.12</v>
      </c>
      <c r="AQ65" s="48">
        <v>214444416.12</v>
      </c>
      <c r="AR65" s="48">
        <v>214444416.12</v>
      </c>
      <c r="AS65" s="48">
        <v>214444416.12</v>
      </c>
      <c r="AT65" s="48">
        <v>214444416.12</v>
      </c>
      <c r="AU65" s="48">
        <v>214444416.12</v>
      </c>
      <c r="AV65" s="48">
        <v>214444416.12</v>
      </c>
      <c r="AW65" s="48">
        <v>214444416.12</v>
      </c>
      <c r="AX65" s="48">
        <v>214444416.12</v>
      </c>
      <c r="AY65" s="48">
        <v>214444416.12</v>
      </c>
      <c r="AZ65" s="48">
        <v>214444416.12</v>
      </c>
      <c r="BA65" s="48">
        <v>214444416.12</v>
      </c>
    </row>
    <row r="66" spans="1:53">
      <c r="A66" t="s">
        <v>449</v>
      </c>
      <c r="B66" t="s">
        <v>297</v>
      </c>
      <c r="E66" s="48">
        <v>10172221.5</v>
      </c>
    </row>
    <row r="71" spans="1:53">
      <c r="A71" t="s">
        <v>450</v>
      </c>
      <c r="B71" t="s">
        <v>364</v>
      </c>
      <c r="C71">
        <v>0</v>
      </c>
      <c r="D71">
        <v>0</v>
      </c>
      <c r="E71" s="48">
        <v>64826361.950000003</v>
      </c>
      <c r="F71" s="48">
        <v>434098568.85000002</v>
      </c>
      <c r="G71" s="48">
        <v>447210614.18000001</v>
      </c>
      <c r="H71" s="48">
        <v>460719138.94999999</v>
      </c>
      <c r="I71" s="48">
        <v>474636146.69999999</v>
      </c>
      <c r="J71" s="48">
        <v>488974004.85000002</v>
      </c>
      <c r="K71" s="48">
        <v>503745455.81999999</v>
      </c>
      <c r="L71" s="48">
        <v>518963628.41000003</v>
      </c>
      <c r="M71" s="48">
        <v>534642049.48000002</v>
      </c>
      <c r="N71" s="48">
        <v>550794656.12</v>
      </c>
      <c r="O71" s="48">
        <v>567435808.02999997</v>
      </c>
      <c r="P71" s="48">
        <v>584580300.42999995</v>
      </c>
      <c r="Q71" s="48">
        <v>602243377.24000001</v>
      </c>
      <c r="R71" s="48">
        <v>620440744.72000003</v>
      </c>
      <c r="S71" s="48">
        <v>639188585.53999996</v>
      </c>
      <c r="T71" s="48">
        <v>658503573.24000001</v>
      </c>
      <c r="U71" s="48">
        <v>678402887.12</v>
      </c>
      <c r="V71" s="48">
        <v>698904227.64999998</v>
      </c>
      <c r="W71" s="48">
        <v>720025832.27999997</v>
      </c>
      <c r="X71" s="48">
        <v>741786491.77999997</v>
      </c>
      <c r="Y71" s="48">
        <v>764205567.01999998</v>
      </c>
      <c r="Z71" s="48">
        <v>787303006.33000004</v>
      </c>
      <c r="AA71" s="48">
        <v>811099363.36000001</v>
      </c>
      <c r="AB71" s="48">
        <v>835615815.42999995</v>
      </c>
      <c r="AC71" s="48">
        <v>860874182.55999994</v>
      </c>
      <c r="AD71" s="48">
        <v>886896946.94000006</v>
      </c>
      <c r="AE71" s="48">
        <v>913707273.12</v>
      </c>
      <c r="AF71" s="48">
        <v>941329028.70000005</v>
      </c>
      <c r="AG71" s="48">
        <v>969786805.76999998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 spans="1:53">
      <c r="A72" t="s">
        <v>451</v>
      </c>
      <c r="B72" t="s">
        <v>297</v>
      </c>
      <c r="C72">
        <v>0</v>
      </c>
      <c r="E72" s="48">
        <v>2452296.77</v>
      </c>
      <c r="F72" s="48">
        <v>16497826.51</v>
      </c>
      <c r="G72" s="48">
        <v>17075250.440000001</v>
      </c>
      <c r="H72" s="48">
        <v>17672884.199999999</v>
      </c>
      <c r="I72" s="48">
        <v>18291435.149999999</v>
      </c>
      <c r="J72" s="48">
        <v>18931635.379999999</v>
      </c>
      <c r="K72" s="48">
        <v>19594242.620000001</v>
      </c>
      <c r="L72" s="48">
        <v>20280041.109999999</v>
      </c>
      <c r="M72" s="48">
        <v>20989842.550000001</v>
      </c>
      <c r="N72" s="48">
        <v>21724487.039999999</v>
      </c>
      <c r="O72" s="48">
        <v>22484844.079999998</v>
      </c>
      <c r="P72" s="48">
        <v>23271813.629999999</v>
      </c>
      <c r="Q72" s="48">
        <v>24086327.100000001</v>
      </c>
      <c r="R72" s="48">
        <v>24929348.550000001</v>
      </c>
      <c r="S72" s="48">
        <v>25801875.75</v>
      </c>
      <c r="T72" s="48">
        <v>26704941.399999999</v>
      </c>
      <c r="U72" s="48">
        <v>27639614.350000001</v>
      </c>
      <c r="V72" s="48">
        <v>28607000.859999999</v>
      </c>
      <c r="W72" s="48">
        <v>29608245.890000001</v>
      </c>
      <c r="X72" s="48">
        <v>30644534.489999998</v>
      </c>
      <c r="Y72" s="48">
        <v>31717093.199999999</v>
      </c>
      <c r="Z72" s="48">
        <v>32827191.460000001</v>
      </c>
      <c r="AA72" s="48">
        <v>33976143.159999996</v>
      </c>
      <c r="AB72" s="48">
        <v>35165308.170000002</v>
      </c>
      <c r="AC72" s="48">
        <v>36396093.960000001</v>
      </c>
      <c r="AD72" s="48">
        <v>37669957.25</v>
      </c>
      <c r="AE72" s="48">
        <v>38988405.75</v>
      </c>
      <c r="AF72" s="48">
        <v>40352999.950000003</v>
      </c>
      <c r="AG72" s="48">
        <v>41765354.950000003</v>
      </c>
    </row>
    <row r="73" spans="1:53">
      <c r="A73" t="s">
        <v>452</v>
      </c>
      <c r="B73" t="s">
        <v>297</v>
      </c>
      <c r="C73">
        <v>0</v>
      </c>
      <c r="E73" s="48">
        <v>124043.69</v>
      </c>
      <c r="F73" s="48">
        <v>830472.52</v>
      </c>
      <c r="G73" s="48">
        <v>855386.7</v>
      </c>
      <c r="H73" s="48">
        <v>881048.3</v>
      </c>
      <c r="I73" s="48">
        <v>907479.75</v>
      </c>
      <c r="J73" s="48">
        <v>934704.14</v>
      </c>
      <c r="K73" s="48">
        <v>962745.26</v>
      </c>
      <c r="L73" s="48">
        <v>991627.62</v>
      </c>
      <c r="M73" s="48">
        <v>1021376.45</v>
      </c>
      <c r="N73" s="48">
        <v>1052017.74</v>
      </c>
      <c r="O73" s="48">
        <v>1083578.27</v>
      </c>
      <c r="P73" s="48">
        <v>1116085.6200000001</v>
      </c>
      <c r="Q73" s="48">
        <v>1149568.19</v>
      </c>
      <c r="R73" s="48">
        <v>1184055.24</v>
      </c>
      <c r="S73" s="48">
        <v>1219576.8899999999</v>
      </c>
      <c r="T73" s="48">
        <v>1256164.2</v>
      </c>
      <c r="U73" s="48">
        <v>1293849.1299999999</v>
      </c>
      <c r="V73" s="48">
        <v>1332664.6000000001</v>
      </c>
      <c r="W73" s="48">
        <v>1372644.54</v>
      </c>
      <c r="X73" s="48">
        <v>1413823.87</v>
      </c>
      <c r="Y73" s="48">
        <v>1456238.59</v>
      </c>
      <c r="Z73" s="48">
        <v>1499925.75</v>
      </c>
      <c r="AA73" s="48">
        <v>1544923.52</v>
      </c>
      <c r="AB73" s="48">
        <v>1591271.23</v>
      </c>
      <c r="AC73" s="48">
        <v>1639009.36</v>
      </c>
      <c r="AD73" s="48">
        <v>1688179.64</v>
      </c>
      <c r="AE73" s="48">
        <v>1738825.03</v>
      </c>
      <c r="AF73" s="48">
        <v>1790989.78</v>
      </c>
      <c r="AG73" s="48">
        <v>1844719.48</v>
      </c>
    </row>
    <row r="74" spans="1:53">
      <c r="A74" t="s">
        <v>453</v>
      </c>
      <c r="B74" t="s">
        <v>297</v>
      </c>
      <c r="C74">
        <v>0</v>
      </c>
      <c r="E74" s="48">
        <v>323166.46000000002</v>
      </c>
      <c r="F74" s="48">
        <v>2163599.46</v>
      </c>
      <c r="G74" s="48">
        <v>2228507.44</v>
      </c>
      <c r="H74" s="48">
        <v>2295362.67</v>
      </c>
      <c r="I74" s="48">
        <v>2364223.5499999998</v>
      </c>
      <c r="J74" s="48">
        <v>2435150.25</v>
      </c>
      <c r="K74" s="48">
        <v>2508204.7599999998</v>
      </c>
      <c r="L74" s="48">
        <v>2583450.9</v>
      </c>
      <c r="M74" s="48">
        <v>2660954.4300000002</v>
      </c>
      <c r="N74" s="48">
        <v>2740783.06</v>
      </c>
      <c r="O74" s="48">
        <v>2823006.56</v>
      </c>
      <c r="P74" s="48">
        <v>2907696.75</v>
      </c>
      <c r="Q74" s="48">
        <v>2994927.66</v>
      </c>
      <c r="R74" s="48">
        <v>3084775.48</v>
      </c>
      <c r="S74" s="48">
        <v>3177318.75</v>
      </c>
      <c r="T74" s="48">
        <v>3272638.31</v>
      </c>
      <c r="U74" s="48">
        <v>3370817.46</v>
      </c>
      <c r="V74" s="48">
        <v>3471941.99</v>
      </c>
      <c r="W74" s="48">
        <v>3576100.24</v>
      </c>
      <c r="X74" s="48">
        <v>3683383.25</v>
      </c>
      <c r="Y74" s="48">
        <v>3793884.75</v>
      </c>
      <c r="Z74" s="48">
        <v>3907701.29</v>
      </c>
      <c r="AA74" s="48">
        <v>4024932.33</v>
      </c>
      <c r="AB74" s="48">
        <v>4145680.3</v>
      </c>
      <c r="AC74" s="48">
        <v>4270050.71</v>
      </c>
      <c r="AD74" s="48">
        <v>4398152.2300000004</v>
      </c>
      <c r="AE74" s="48">
        <v>4530096.8</v>
      </c>
      <c r="AF74" s="48">
        <v>4665999.7</v>
      </c>
      <c r="AG74" s="48">
        <v>4805979.6900000004</v>
      </c>
    </row>
    <row r="75" spans="1:53">
      <c r="A75" t="s">
        <v>454</v>
      </c>
      <c r="B75" t="s">
        <v>297</v>
      </c>
      <c r="C75">
        <v>0</v>
      </c>
      <c r="E75" s="48">
        <v>56870286.289999999</v>
      </c>
      <c r="F75" s="48">
        <v>380746566.69</v>
      </c>
      <c r="G75" s="48">
        <v>392168963.69</v>
      </c>
      <c r="H75" s="48">
        <v>403934032.60000002</v>
      </c>
      <c r="I75" s="48">
        <v>416052053.57999998</v>
      </c>
      <c r="J75" s="48">
        <v>428533615.19</v>
      </c>
      <c r="K75" s="48">
        <v>441389623.64999998</v>
      </c>
      <c r="L75" s="48">
        <v>454631312.35000002</v>
      </c>
      <c r="M75" s="48">
        <v>468270251.73000002</v>
      </c>
      <c r="N75" s="48">
        <v>482318359.27999997</v>
      </c>
      <c r="O75" s="48">
        <v>496787910.06</v>
      </c>
      <c r="P75" s="48">
        <v>511691547.36000001</v>
      </c>
      <c r="Q75" s="48">
        <v>527042293.77999997</v>
      </c>
      <c r="R75" s="48">
        <v>542853562.59000003</v>
      </c>
      <c r="S75" s="48">
        <v>559139169.47000003</v>
      </c>
      <c r="T75" s="48">
        <v>575913344.54999995</v>
      </c>
      <c r="U75" s="48">
        <v>593190744.88999999</v>
      </c>
      <c r="V75" s="48">
        <v>610986467.24000001</v>
      </c>
      <c r="W75" s="48">
        <v>629316061.25</v>
      </c>
      <c r="X75" s="48">
        <v>648195543.09000003</v>
      </c>
      <c r="Y75" s="48">
        <v>667641409.38</v>
      </c>
      <c r="Z75" s="48">
        <v>687670651.66999996</v>
      </c>
      <c r="AA75" s="48">
        <v>708300771.22000003</v>
      </c>
      <c r="AB75" s="48">
        <v>729549794.35000002</v>
      </c>
      <c r="AC75" s="48">
        <v>751436288.17999995</v>
      </c>
      <c r="AD75" s="48">
        <v>773979376.83000004</v>
      </c>
      <c r="AE75" s="48">
        <v>797198758.13</v>
      </c>
      <c r="AF75" s="48">
        <v>821114720.88</v>
      </c>
      <c r="AG75" s="48">
        <v>845748162.5</v>
      </c>
    </row>
    <row r="76" spans="1:53">
      <c r="A76" t="s">
        <v>455</v>
      </c>
      <c r="B76" t="s">
        <v>297</v>
      </c>
      <c r="C76">
        <v>0</v>
      </c>
      <c r="D76">
        <v>0</v>
      </c>
      <c r="E76" s="48">
        <v>31010.92</v>
      </c>
      <c r="F76" s="48">
        <v>207618.13</v>
      </c>
      <c r="G76" s="48">
        <v>213846.67</v>
      </c>
      <c r="H76" s="48">
        <v>220262.07</v>
      </c>
      <c r="I76" s="48">
        <v>226869.94</v>
      </c>
      <c r="J76" s="48">
        <v>233676.03</v>
      </c>
      <c r="K76" s="48">
        <v>240686.32</v>
      </c>
      <c r="L76" s="48">
        <v>247906.9</v>
      </c>
      <c r="M76" s="48">
        <v>255344.11</v>
      </c>
      <c r="N76" s="48">
        <v>263004.44</v>
      </c>
      <c r="O76" s="48">
        <v>270894.57</v>
      </c>
      <c r="P76" s="48">
        <v>279021.40999999997</v>
      </c>
      <c r="Q76" s="48">
        <v>287392.05</v>
      </c>
      <c r="R76" s="48">
        <v>296013.81</v>
      </c>
      <c r="S76" s="48">
        <v>304894.21999999997</v>
      </c>
      <c r="T76" s="48">
        <v>314041.05</v>
      </c>
      <c r="U76" s="48">
        <v>323462.28000000003</v>
      </c>
      <c r="V76" s="48">
        <v>333166.15000000002</v>
      </c>
      <c r="W76" s="48">
        <v>343161.13</v>
      </c>
      <c r="X76" s="48">
        <v>353455.97</v>
      </c>
      <c r="Y76" s="48">
        <v>364059.65</v>
      </c>
      <c r="Z76" s="48">
        <v>374981.44</v>
      </c>
      <c r="AA76" s="48">
        <v>386230.88</v>
      </c>
      <c r="AB76" s="48">
        <v>397817.81</v>
      </c>
      <c r="AC76" s="48">
        <v>409752.34</v>
      </c>
      <c r="AD76" s="48">
        <v>422044.91</v>
      </c>
      <c r="AE76" s="48">
        <v>434706.26</v>
      </c>
      <c r="AF76" s="48">
        <v>447747.45</v>
      </c>
      <c r="AG76" s="48">
        <v>461179.87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 spans="1:53">
      <c r="A77" t="s">
        <v>456</v>
      </c>
      <c r="B77" t="s">
        <v>297</v>
      </c>
      <c r="C77">
        <v>0</v>
      </c>
      <c r="D77">
        <v>0</v>
      </c>
      <c r="E77" s="48">
        <v>223605.08</v>
      </c>
      <c r="F77" s="48">
        <v>1497035.99</v>
      </c>
      <c r="G77" s="48">
        <v>1541947.07</v>
      </c>
      <c r="H77" s="48">
        <v>1588205.48</v>
      </c>
      <c r="I77" s="48">
        <v>1635851.65</v>
      </c>
      <c r="J77" s="48">
        <v>1684927.2</v>
      </c>
      <c r="K77" s="48">
        <v>1735475.01</v>
      </c>
      <c r="L77" s="48">
        <v>1787539.26</v>
      </c>
      <c r="M77" s="48">
        <v>1841165.44</v>
      </c>
      <c r="N77" s="48">
        <v>1896400.4</v>
      </c>
      <c r="O77" s="48">
        <v>1953292.41</v>
      </c>
      <c r="P77" s="48">
        <v>2011891.19</v>
      </c>
      <c r="Q77" s="48">
        <v>2072247.92</v>
      </c>
      <c r="R77" s="48">
        <v>2134415.3599999999</v>
      </c>
      <c r="S77" s="48">
        <v>2198447.8199999998</v>
      </c>
      <c r="T77" s="48">
        <v>2264401.2599999998</v>
      </c>
      <c r="U77" s="48">
        <v>2332333.29</v>
      </c>
      <c r="V77" s="48">
        <v>2402303.29</v>
      </c>
      <c r="W77" s="48">
        <v>2474372.39</v>
      </c>
      <c r="X77" s="48">
        <v>2548603.56</v>
      </c>
      <c r="Y77" s="48">
        <v>2625061.67</v>
      </c>
      <c r="Z77" s="48">
        <v>2703813.52</v>
      </c>
      <c r="AA77" s="48">
        <v>2784927.93</v>
      </c>
      <c r="AB77" s="48">
        <v>2868475.76</v>
      </c>
      <c r="AC77" s="48">
        <v>2954530.04</v>
      </c>
      <c r="AD77" s="48">
        <v>3043165.94</v>
      </c>
      <c r="AE77" s="48">
        <v>3134460.92</v>
      </c>
      <c r="AF77" s="48">
        <v>3228494.74</v>
      </c>
      <c r="AG77" s="48">
        <v>3325349.59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</row>
    <row r="78" spans="1:53">
      <c r="A78" t="s">
        <v>457</v>
      </c>
      <c r="B78" t="s">
        <v>297</v>
      </c>
      <c r="C78">
        <v>0</v>
      </c>
      <c r="D78">
        <v>0</v>
      </c>
      <c r="E78" s="48">
        <v>60024409.210000001</v>
      </c>
      <c r="F78" s="48">
        <v>401943119.30000001</v>
      </c>
      <c r="G78" s="48">
        <v>414083902.00999999</v>
      </c>
      <c r="H78" s="48">
        <v>426591795.32999998</v>
      </c>
      <c r="I78" s="48">
        <v>439477913.61000001</v>
      </c>
      <c r="J78" s="48">
        <v>452753708.19</v>
      </c>
      <c r="K78" s="48">
        <v>466430977.61000001</v>
      </c>
      <c r="L78" s="48">
        <v>480521878.16000003</v>
      </c>
      <c r="M78" s="48">
        <v>495038934.70999998</v>
      </c>
      <c r="N78" s="48">
        <v>509995051.95999998</v>
      </c>
      <c r="O78" s="48">
        <v>525403525.94999999</v>
      </c>
      <c r="P78" s="48">
        <v>541278055.95000005</v>
      </c>
      <c r="Q78" s="48">
        <v>557632756.70000005</v>
      </c>
      <c r="R78" s="48">
        <v>574482171.03999996</v>
      </c>
      <c r="S78" s="48">
        <v>591841282.90999997</v>
      </c>
      <c r="T78" s="48">
        <v>609725530.77999997</v>
      </c>
      <c r="U78" s="48">
        <v>628150821.40999997</v>
      </c>
      <c r="V78" s="48">
        <v>647133544.12</v>
      </c>
      <c r="W78" s="48">
        <v>666690585.45000005</v>
      </c>
      <c r="X78" s="48">
        <v>686839344.24000001</v>
      </c>
      <c r="Y78" s="48">
        <v>707597747.24000001</v>
      </c>
      <c r="Z78" s="48">
        <v>728984265.12</v>
      </c>
      <c r="AA78" s="48">
        <v>751017929.02999997</v>
      </c>
      <c r="AB78" s="48">
        <v>773718347.62</v>
      </c>
      <c r="AC78" s="48">
        <v>797105724.59000003</v>
      </c>
      <c r="AD78" s="48">
        <v>821200876.79999995</v>
      </c>
      <c r="AE78" s="48">
        <v>846025252.88999999</v>
      </c>
      <c r="AF78" s="48">
        <v>871600952.5</v>
      </c>
      <c r="AG78" s="48">
        <v>897950746.08000004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 spans="1:53">
      <c r="A79" t="s">
        <v>458</v>
      </c>
      <c r="B79" t="s">
        <v>297</v>
      </c>
      <c r="C79">
        <v>0</v>
      </c>
      <c r="D79">
        <v>0</v>
      </c>
      <c r="E79" s="48">
        <v>4801952.74</v>
      </c>
      <c r="F79" s="48">
        <v>32155449.539999999</v>
      </c>
      <c r="G79" s="48">
        <v>33126712.16</v>
      </c>
      <c r="H79" s="48">
        <v>34127343.630000003</v>
      </c>
      <c r="I79" s="48">
        <v>35158233.090000004</v>
      </c>
      <c r="J79" s="48">
        <v>36220296.659999996</v>
      </c>
      <c r="K79" s="48">
        <v>37314478.210000001</v>
      </c>
      <c r="L79" s="48">
        <v>38441750.25</v>
      </c>
      <c r="M79" s="48">
        <v>39603114.780000001</v>
      </c>
      <c r="N79" s="48">
        <v>40799604.159999996</v>
      </c>
      <c r="O79" s="48">
        <v>42032282.079999998</v>
      </c>
      <c r="P79" s="48">
        <v>43302244.479999997</v>
      </c>
      <c r="Q79" s="48">
        <v>44610620.539999999</v>
      </c>
      <c r="R79" s="48">
        <v>45958573.68</v>
      </c>
      <c r="S79" s="48">
        <v>47347302.630000003</v>
      </c>
      <c r="T79" s="48">
        <v>48778042.460000001</v>
      </c>
      <c r="U79" s="48">
        <v>50252065.710000001</v>
      </c>
      <c r="V79" s="48">
        <v>51770683.530000001</v>
      </c>
      <c r="W79" s="48">
        <v>53335246.840000004</v>
      </c>
      <c r="X79" s="48">
        <v>54947147.539999999</v>
      </c>
      <c r="Y79" s="48">
        <v>56607819.780000001</v>
      </c>
      <c r="Z79" s="48">
        <v>58318741.210000001</v>
      </c>
      <c r="AA79" s="48">
        <v>60081434.32</v>
      </c>
      <c r="AB79" s="48">
        <v>61897467.810000002</v>
      </c>
      <c r="AC79" s="48">
        <v>63768457.969999999</v>
      </c>
      <c r="AD79" s="48">
        <v>65696070.140000001</v>
      </c>
      <c r="AE79" s="48">
        <v>67682020.230000004</v>
      </c>
      <c r="AF79" s="48">
        <v>69728076.200000003</v>
      </c>
      <c r="AG79" s="48">
        <v>71836059.689999998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8" spans="1:53">
      <c r="A88" t="s">
        <v>459</v>
      </c>
      <c r="B88" t="s">
        <v>364</v>
      </c>
      <c r="C88">
        <v>0</v>
      </c>
      <c r="D88" s="48">
        <v>-96127493.219999999</v>
      </c>
      <c r="E88" s="48">
        <v>-193315506.34999999</v>
      </c>
      <c r="F88" s="48">
        <v>464529094.95999998</v>
      </c>
      <c r="G88" s="48">
        <v>779416146.91999996</v>
      </c>
      <c r="H88" s="48">
        <v>827238960.20000005</v>
      </c>
      <c r="I88" s="48">
        <v>877719857.40999997</v>
      </c>
      <c r="J88" s="48">
        <v>930999799.47000003</v>
      </c>
      <c r="K88" s="48">
        <v>987227038.71000004</v>
      </c>
      <c r="L88" s="48">
        <v>1046557490.85</v>
      </c>
      <c r="M88" s="48">
        <v>1109155125.74</v>
      </c>
      <c r="N88" s="48">
        <v>1175192377.8599999</v>
      </c>
      <c r="O88" s="48">
        <v>1244850577.6500001</v>
      </c>
      <c r="P88" s="48">
        <v>1318320404.53</v>
      </c>
      <c r="Q88" s="48">
        <v>1395802362.98</v>
      </c>
      <c r="R88" s="48">
        <v>1477507282.5</v>
      </c>
      <c r="S88" s="48">
        <v>1563656843.04</v>
      </c>
      <c r="T88" s="48">
        <v>1654484126.77</v>
      </c>
      <c r="U88" s="48">
        <v>1750234197.8900001</v>
      </c>
      <c r="V88" s="48">
        <v>1851164711.6099999</v>
      </c>
      <c r="W88" s="48">
        <v>1957546553.9400001</v>
      </c>
      <c r="X88" s="48">
        <v>2069664513.76</v>
      </c>
      <c r="Y88" s="48">
        <v>2187817988.8000002</v>
      </c>
      <c r="Z88" s="48">
        <v>2312321727.27</v>
      </c>
      <c r="AA88" s="48">
        <v>2443506606.9299998</v>
      </c>
      <c r="AB88" s="48">
        <v>2581720453.3699999</v>
      </c>
      <c r="AC88" s="48">
        <v>2727328899.6799998</v>
      </c>
      <c r="AD88" s="48">
        <v>2880716289.4099998</v>
      </c>
      <c r="AE88" s="48">
        <v>3042286625.0500002</v>
      </c>
      <c r="AF88" s="48">
        <v>3212464564.3699999</v>
      </c>
      <c r="AG88" s="48">
        <v>3391696466.9699998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90" spans="1:53">
      <c r="A90" t="s">
        <v>460</v>
      </c>
      <c r="B90" t="s">
        <v>364</v>
      </c>
      <c r="C90">
        <v>0</v>
      </c>
      <c r="E90" s="48">
        <v>5425184.7999999998</v>
      </c>
      <c r="F90" s="48">
        <v>5425184.7999999998</v>
      </c>
      <c r="G90" s="48">
        <v>5425184.7999999998</v>
      </c>
      <c r="H90" s="48">
        <v>5425184.7999999998</v>
      </c>
      <c r="I90" s="48">
        <v>5425184.7999999998</v>
      </c>
      <c r="J90" s="48">
        <v>5425184.7999999998</v>
      </c>
      <c r="K90" s="48">
        <v>5425184.7999999998</v>
      </c>
      <c r="L90" s="48">
        <v>5425184.7999999998</v>
      </c>
      <c r="M90" s="48">
        <v>5425184.7999999998</v>
      </c>
      <c r="N90" s="48">
        <v>5425184.7999999998</v>
      </c>
      <c r="O90" s="48">
        <v>5425184.7999999998</v>
      </c>
      <c r="P90" s="48">
        <v>5425184.7999999998</v>
      </c>
      <c r="Q90" s="48">
        <v>5425184.7999999998</v>
      </c>
      <c r="R90" s="48">
        <v>5425184.7999999998</v>
      </c>
      <c r="S90" s="48">
        <v>5425184.7999999998</v>
      </c>
      <c r="T90" s="48">
        <v>5425184.7999999998</v>
      </c>
      <c r="U90" s="48">
        <v>5425184.7999999998</v>
      </c>
      <c r="V90" s="48">
        <v>5425184.7999999998</v>
      </c>
      <c r="W90" s="48">
        <v>5425184.7999999998</v>
      </c>
      <c r="X90" s="48">
        <v>5425184.7999999998</v>
      </c>
      <c r="Y90" s="48">
        <v>5425184.7999999998</v>
      </c>
      <c r="Z90" s="48">
        <v>5425184.7999999998</v>
      </c>
      <c r="AA90" s="48">
        <v>5425184.7999999998</v>
      </c>
      <c r="AB90" s="48">
        <v>5425184.7999999998</v>
      </c>
      <c r="AC90" s="48">
        <v>5425184.7999999998</v>
      </c>
      <c r="AD90" s="48">
        <v>5425184.7999999998</v>
      </c>
      <c r="AE90" s="48">
        <v>5425184.7999999998</v>
      </c>
      <c r="AF90" s="48">
        <v>5425184.7999999998</v>
      </c>
      <c r="AG90" s="48">
        <v>5425184.7999999998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 spans="1:53">
      <c r="A91" t="s">
        <v>461</v>
      </c>
      <c r="B91" t="s">
        <v>364</v>
      </c>
      <c r="C91">
        <v>0</v>
      </c>
      <c r="D91" s="48">
        <v>-96127493.219999999</v>
      </c>
      <c r="E91" s="48">
        <v>-198740691.16</v>
      </c>
      <c r="F91" s="48">
        <v>459103910.16000003</v>
      </c>
      <c r="G91" s="48">
        <v>773990962.12</v>
      </c>
      <c r="H91" s="48">
        <v>821813775.39999998</v>
      </c>
      <c r="I91" s="48">
        <v>872294672.61000001</v>
      </c>
      <c r="J91" s="48">
        <v>925574614.66999996</v>
      </c>
      <c r="K91" s="48">
        <v>981801853.89999998</v>
      </c>
      <c r="L91" s="48">
        <v>1041132306.05</v>
      </c>
      <c r="M91" s="48">
        <v>1103729940.9300001</v>
      </c>
      <c r="N91" s="48">
        <v>1169767193.0599999</v>
      </c>
      <c r="O91" s="48">
        <v>1239425392.8499999</v>
      </c>
      <c r="P91" s="48">
        <v>1312895219.73</v>
      </c>
      <c r="Q91" s="48">
        <v>1390377178.1700001</v>
      </c>
      <c r="R91" s="48">
        <v>1472082097.7</v>
      </c>
      <c r="S91" s="48">
        <v>1558231658.24</v>
      </c>
      <c r="T91" s="48">
        <v>1649058941.97</v>
      </c>
      <c r="U91" s="48">
        <v>1744809013.0899999</v>
      </c>
      <c r="V91" s="48">
        <v>1845739526.8099999</v>
      </c>
      <c r="W91" s="48">
        <v>1952121369.1400001</v>
      </c>
      <c r="X91" s="48">
        <v>2064239328.96</v>
      </c>
      <c r="Y91" s="48">
        <v>2182392803.9899998</v>
      </c>
      <c r="Z91" s="48">
        <v>2306896542.4699998</v>
      </c>
      <c r="AA91" s="48">
        <v>2438081422.1300001</v>
      </c>
      <c r="AB91" s="48">
        <v>2576295268.5700002</v>
      </c>
      <c r="AC91" s="48">
        <v>2721903714.8800001</v>
      </c>
      <c r="AD91" s="48">
        <v>2875291104.6100001</v>
      </c>
      <c r="AE91" s="48">
        <v>3036861440.25</v>
      </c>
      <c r="AF91" s="48">
        <v>3207039379.5700002</v>
      </c>
      <c r="AG91" s="48">
        <v>3386271282.1599998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</row>
    <row r="92" spans="1:53">
      <c r="A92" t="s">
        <v>462</v>
      </c>
      <c r="B92" t="s">
        <v>364</v>
      </c>
      <c r="C92">
        <v>0</v>
      </c>
      <c r="D92">
        <v>0</v>
      </c>
      <c r="E92">
        <v>0</v>
      </c>
      <c r="F92" s="48">
        <v>160686368.56</v>
      </c>
      <c r="G92" s="48">
        <v>270896836.74000001</v>
      </c>
      <c r="H92" s="48">
        <v>287634821.38999999</v>
      </c>
      <c r="I92" s="48">
        <v>305303135.41000003</v>
      </c>
      <c r="J92" s="48">
        <v>323951115.13</v>
      </c>
      <c r="K92" s="48">
        <v>343630648.87</v>
      </c>
      <c r="L92" s="48">
        <v>364396307.12</v>
      </c>
      <c r="M92" s="48">
        <v>386305479.32999998</v>
      </c>
      <c r="N92" s="48">
        <v>409418517.56999999</v>
      </c>
      <c r="O92" s="48">
        <v>433798887.5</v>
      </c>
      <c r="P92" s="48">
        <v>459513326.91000003</v>
      </c>
      <c r="Q92" s="48">
        <v>486632012.36000001</v>
      </c>
      <c r="R92" s="48">
        <v>515228734.19999999</v>
      </c>
      <c r="S92" s="48">
        <v>545381080.38</v>
      </c>
      <c r="T92" s="48">
        <v>577170629.69000006</v>
      </c>
      <c r="U92" s="48">
        <v>610683154.58000004</v>
      </c>
      <c r="V92" s="48">
        <v>646008834.38</v>
      </c>
      <c r="W92" s="48">
        <v>683242479.20000005</v>
      </c>
      <c r="X92" s="48">
        <v>722483765.13</v>
      </c>
      <c r="Y92" s="48">
        <v>763837481.39999998</v>
      </c>
      <c r="Z92" s="48">
        <v>807413789.86000001</v>
      </c>
      <c r="AA92" s="48">
        <v>853328497.74000001</v>
      </c>
      <c r="AB92" s="48">
        <v>901703344</v>
      </c>
      <c r="AC92" s="48">
        <v>952666300.21000004</v>
      </c>
      <c r="AD92" s="48">
        <v>1006351886.61</v>
      </c>
      <c r="AE92" s="48">
        <v>1062901504.09</v>
      </c>
      <c r="AF92" s="48">
        <v>1122463782.8499999</v>
      </c>
      <c r="AG92" s="48">
        <v>1185194948.76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 spans="1:53">
      <c r="A93" t="s">
        <v>463</v>
      </c>
      <c r="B93" t="s">
        <v>364</v>
      </c>
      <c r="C93">
        <v>0</v>
      </c>
      <c r="D93" s="48">
        <v>-96127493.219999999</v>
      </c>
      <c r="E93" s="48">
        <v>-198740691.16</v>
      </c>
      <c r="F93" s="48">
        <v>298417541.60000002</v>
      </c>
      <c r="G93" s="48">
        <v>503094125.38</v>
      </c>
      <c r="H93" s="48">
        <v>534178954.00999999</v>
      </c>
      <c r="I93" s="48">
        <v>566991537.20000005</v>
      </c>
      <c r="J93" s="48">
        <v>601623499.52999997</v>
      </c>
      <c r="K93" s="48">
        <v>638171205.03999996</v>
      </c>
      <c r="L93" s="48">
        <v>676735998.92999995</v>
      </c>
      <c r="M93" s="48">
        <v>717424461.61000001</v>
      </c>
      <c r="N93" s="48">
        <v>760348675.49000001</v>
      </c>
      <c r="O93" s="48">
        <v>805626505.35000002</v>
      </c>
      <c r="P93" s="48">
        <v>853381892.83000004</v>
      </c>
      <c r="Q93" s="48">
        <v>903745165.80999994</v>
      </c>
      <c r="R93" s="48">
        <v>956853363.50999999</v>
      </c>
      <c r="S93" s="48">
        <v>1012850577.85</v>
      </c>
      <c r="T93" s="48">
        <v>1071888312.28</v>
      </c>
      <c r="U93" s="48">
        <v>1134125858.51</v>
      </c>
      <c r="V93" s="48">
        <v>1199730692.4300001</v>
      </c>
      <c r="W93" s="48">
        <v>1268878889.9400001</v>
      </c>
      <c r="X93" s="48">
        <v>1341755563.8199999</v>
      </c>
      <c r="Y93" s="48">
        <v>1418555322.5999999</v>
      </c>
      <c r="Z93" s="48">
        <v>1499482752.6099999</v>
      </c>
      <c r="AA93" s="48">
        <v>1584752924.3800001</v>
      </c>
      <c r="AB93" s="48">
        <v>1674591924.5699999</v>
      </c>
      <c r="AC93" s="48">
        <v>1769237414.6700001</v>
      </c>
      <c r="AD93" s="48">
        <v>1868939217.99</v>
      </c>
      <c r="AE93" s="48">
        <v>1973959936.1600001</v>
      </c>
      <c r="AF93" s="48">
        <v>2084575596.72</v>
      </c>
      <c r="AG93" s="48">
        <v>2201076333.4099998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</row>
    <row r="94" spans="1:53">
      <c r="A94" t="s">
        <v>464</v>
      </c>
      <c r="B94" t="s">
        <v>364</v>
      </c>
      <c r="C94">
        <v>0</v>
      </c>
      <c r="D94" s="48">
        <v>-96127493.219999999</v>
      </c>
      <c r="E94" s="48">
        <v>-193315506.34999999</v>
      </c>
      <c r="F94" s="48">
        <v>303842726.41000003</v>
      </c>
      <c r="G94" s="48">
        <v>508519310.18000001</v>
      </c>
      <c r="H94" s="48">
        <v>539604138.80999994</v>
      </c>
      <c r="I94" s="48">
        <v>572416722</v>
      </c>
      <c r="J94" s="48">
        <v>607048684.33000004</v>
      </c>
      <c r="K94" s="48">
        <v>643596389.84000003</v>
      </c>
      <c r="L94" s="48">
        <v>682161183.73000002</v>
      </c>
      <c r="M94" s="48">
        <v>722849646.40999997</v>
      </c>
      <c r="N94" s="48">
        <v>765773860.28999996</v>
      </c>
      <c r="O94" s="48">
        <v>811051690.14999998</v>
      </c>
      <c r="P94" s="48">
        <v>858807077.63</v>
      </c>
      <c r="Q94" s="48">
        <v>909170350.62</v>
      </c>
      <c r="R94" s="48">
        <v>962278548.30999994</v>
      </c>
      <c r="S94" s="48">
        <v>1018275762.66</v>
      </c>
      <c r="T94" s="48">
        <v>1077313497.0799999</v>
      </c>
      <c r="U94" s="48">
        <v>1139551043.3099999</v>
      </c>
      <c r="V94" s="48">
        <v>1205155877.23</v>
      </c>
      <c r="W94" s="48">
        <v>1274304074.74</v>
      </c>
      <c r="X94" s="48">
        <v>1347180748.6199999</v>
      </c>
      <c r="Y94" s="48">
        <v>1423980507.4000001</v>
      </c>
      <c r="Z94" s="48">
        <v>1504907937.4100001</v>
      </c>
      <c r="AA94" s="48">
        <v>1590178109.1800001</v>
      </c>
      <c r="AB94" s="48">
        <v>1680017109.3699999</v>
      </c>
      <c r="AC94" s="48">
        <v>1774662599.47</v>
      </c>
      <c r="AD94" s="48">
        <v>1874364402.8</v>
      </c>
      <c r="AE94" s="48">
        <v>1979385120.96</v>
      </c>
      <c r="AF94" s="48">
        <v>2090000781.52</v>
      </c>
      <c r="AG94" s="48">
        <v>2206501518.21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 spans="1:53">
      <c r="A95" t="s">
        <v>465</v>
      </c>
      <c r="B95" t="s">
        <v>364</v>
      </c>
      <c r="C95">
        <v>0</v>
      </c>
      <c r="D95" s="48">
        <v>96127493.219999999</v>
      </c>
      <c r="E95" s="48">
        <v>193315506.34999999</v>
      </c>
      <c r="F95" s="48">
        <v>434098568.85000002</v>
      </c>
      <c r="G95" s="48">
        <v>447210614.18000001</v>
      </c>
      <c r="H95" s="48">
        <v>460719138.94999999</v>
      </c>
      <c r="I95" s="48">
        <v>474636146.69999999</v>
      </c>
      <c r="J95" s="48">
        <v>488974004.85000002</v>
      </c>
      <c r="K95" s="48">
        <v>503745455.81999999</v>
      </c>
      <c r="L95" s="48">
        <v>518963628.41000003</v>
      </c>
      <c r="M95" s="48">
        <v>534642049.48000002</v>
      </c>
      <c r="N95" s="48">
        <v>550794656.12</v>
      </c>
      <c r="O95" s="48">
        <v>567435808.02999997</v>
      </c>
      <c r="P95" s="48">
        <v>584580300.42999995</v>
      </c>
      <c r="Q95" s="48">
        <v>602243377.24000001</v>
      </c>
      <c r="R95" s="48">
        <v>620440744.72000003</v>
      </c>
      <c r="S95" s="48">
        <v>639188585.53999996</v>
      </c>
      <c r="T95" s="48">
        <v>658503573.24000001</v>
      </c>
      <c r="U95" s="48">
        <v>678402887.12</v>
      </c>
      <c r="V95" s="48">
        <v>698904227.64999998</v>
      </c>
      <c r="W95" s="48">
        <v>720025832.27999997</v>
      </c>
      <c r="X95" s="48">
        <v>741786491.77999997</v>
      </c>
      <c r="Y95" s="48">
        <v>764205567.01999998</v>
      </c>
      <c r="Z95" s="48">
        <v>787303006.33000004</v>
      </c>
      <c r="AA95" s="48">
        <v>811099363.36000001</v>
      </c>
      <c r="AB95" s="48">
        <v>835615815.42999995</v>
      </c>
      <c r="AC95" s="48">
        <v>860874182.55999994</v>
      </c>
      <c r="AD95" s="48">
        <v>886896946.94000006</v>
      </c>
      <c r="AE95" s="48">
        <v>913707273.12</v>
      </c>
      <c r="AF95" s="48">
        <v>941329028.70000005</v>
      </c>
      <c r="AG95" s="48">
        <v>969786805.76999998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 spans="1:53">
      <c r="A96" t="s">
        <v>466</v>
      </c>
      <c r="B96" t="s">
        <v>364</v>
      </c>
      <c r="C96">
        <v>0</v>
      </c>
      <c r="D96" s="48">
        <v>-96127493.219999999</v>
      </c>
      <c r="E96" s="48">
        <v>-193315506.34999999</v>
      </c>
      <c r="F96" s="48">
        <v>303842726.41000003</v>
      </c>
      <c r="G96" s="48">
        <v>508519310.18000001</v>
      </c>
      <c r="H96" s="48">
        <v>539604138.80999994</v>
      </c>
      <c r="I96" s="48">
        <v>572416722</v>
      </c>
      <c r="J96" s="48">
        <v>607048684.33000004</v>
      </c>
      <c r="K96" s="48">
        <v>643596389.84000003</v>
      </c>
      <c r="L96" s="48">
        <v>682161183.73000002</v>
      </c>
      <c r="M96" s="48">
        <v>722849646.40999997</v>
      </c>
      <c r="N96" s="48">
        <v>765773860.28999996</v>
      </c>
      <c r="O96" s="48">
        <v>811051690.14999998</v>
      </c>
      <c r="P96" s="48">
        <v>858807077.63</v>
      </c>
      <c r="Q96" s="48">
        <v>909170350.62</v>
      </c>
      <c r="R96" s="48">
        <v>962278548.30999994</v>
      </c>
      <c r="S96" s="48">
        <v>1018275762.66</v>
      </c>
      <c r="T96" s="48">
        <v>1077313497.0799999</v>
      </c>
      <c r="U96" s="48">
        <v>1139551043.3099999</v>
      </c>
      <c r="V96" s="48">
        <v>1205155877.23</v>
      </c>
      <c r="W96" s="48">
        <v>1274304074.74</v>
      </c>
      <c r="X96" s="48">
        <v>1347180748.6199999</v>
      </c>
      <c r="Y96" s="48">
        <v>1423980507.4000001</v>
      </c>
      <c r="Z96" s="48">
        <v>1504907937.4100001</v>
      </c>
      <c r="AA96" s="48">
        <v>1590178109.1800001</v>
      </c>
      <c r="AB96" s="48">
        <v>1680017109.3699999</v>
      </c>
      <c r="AC96" s="48">
        <v>1774662599.47</v>
      </c>
      <c r="AD96" s="48">
        <v>1874364402.8</v>
      </c>
      <c r="AE96" s="48">
        <v>1979385120.96</v>
      </c>
      <c r="AF96" s="48">
        <v>2090000781.52</v>
      </c>
      <c r="AG96" s="48">
        <v>2206501518.21</v>
      </c>
    </row>
    <row r="104" spans="1:53">
      <c r="A104" t="s">
        <v>467</v>
      </c>
      <c r="B104" t="s">
        <v>364</v>
      </c>
      <c r="C104">
        <v>0</v>
      </c>
      <c r="D104">
        <v>0</v>
      </c>
      <c r="E104">
        <v>0</v>
      </c>
      <c r="F104" s="48">
        <v>898627663.80999994</v>
      </c>
      <c r="G104" s="48">
        <v>2197144638.0100002</v>
      </c>
      <c r="H104" s="48">
        <v>3660874308.1999998</v>
      </c>
      <c r="I104" s="48">
        <v>5306100256.96</v>
      </c>
      <c r="J104" s="48">
        <v>7150562081.8400002</v>
      </c>
      <c r="K104" s="48">
        <v>9213579542.9099998</v>
      </c>
      <c r="L104" s="48">
        <v>11516187025.6</v>
      </c>
      <c r="M104" s="48">
        <v>14081279162.870001</v>
      </c>
      <c r="N104" s="48">
        <v>16933768529.879999</v>
      </c>
      <c r="O104" s="48">
        <v>20100756397.950001</v>
      </c>
      <c r="P104" s="48">
        <v>23611717614.75</v>
      </c>
      <c r="Q104" s="48">
        <v>27498700764.139999</v>
      </c>
      <c r="R104" s="48">
        <v>31796544852.490002</v>
      </c>
      <c r="S104" s="48">
        <v>36543113869.279999</v>
      </c>
      <c r="T104" s="48">
        <v>41779550678.830002</v>
      </c>
      <c r="U104" s="48">
        <v>47550551818.150002</v>
      </c>
      <c r="V104" s="48">
        <v>53904664902.870003</v>
      </c>
      <c r="W104" s="48">
        <v>60894610481.32</v>
      </c>
      <c r="X104" s="48">
        <v>68577630325.360001</v>
      </c>
      <c r="Y104" s="48">
        <v>77015864307.210007</v>
      </c>
      <c r="Z104" s="48">
        <v>86276758185.389999</v>
      </c>
      <c r="AA104" s="48">
        <v>96433504810.509995</v>
      </c>
      <c r="AB104" s="48">
        <v>107565521464.14999</v>
      </c>
      <c r="AC104" s="48">
        <v>119758966263.52</v>
      </c>
      <c r="AD104" s="48">
        <v>133107296800.96001</v>
      </c>
      <c r="AE104" s="48">
        <v>147711874443.20001</v>
      </c>
      <c r="AF104" s="48">
        <v>163682617991.73999</v>
      </c>
      <c r="AG104" s="48">
        <v>181138710703.81</v>
      </c>
      <c r="AH104" s="48">
        <v>195629807560.10999</v>
      </c>
      <c r="AI104" s="48">
        <v>211280192164.92001</v>
      </c>
      <c r="AJ104" s="48">
        <v>228182607538.10999</v>
      </c>
      <c r="AK104" s="48">
        <v>246437216141.16</v>
      </c>
      <c r="AL104" s="48">
        <v>266152193432.45999</v>
      </c>
      <c r="AM104" s="48">
        <v>287444368907.04999</v>
      </c>
      <c r="AN104" s="48">
        <v>310439918419.62</v>
      </c>
      <c r="AO104" s="48">
        <v>335275111893.19</v>
      </c>
      <c r="AP104" s="48">
        <v>362097120844.64001</v>
      </c>
      <c r="AQ104" s="48">
        <v>391064890512.21002</v>
      </c>
      <c r="AR104" s="48">
        <v>422350081753.19</v>
      </c>
      <c r="AS104" s="48">
        <v>456138088293.45001</v>
      </c>
      <c r="AT104" s="48">
        <v>492629135356.91998</v>
      </c>
      <c r="AU104" s="48">
        <v>532039466185.47998</v>
      </c>
      <c r="AV104" s="48">
        <v>574602623480.31006</v>
      </c>
      <c r="AW104" s="48">
        <v>620570833358.73999</v>
      </c>
      <c r="AX104" s="48">
        <v>670216500027.43994</v>
      </c>
      <c r="AY104" s="48">
        <v>723833820029.63</v>
      </c>
      <c r="AZ104" s="48">
        <v>781740525632</v>
      </c>
      <c r="BA104" s="48">
        <v>844279767682.56995</v>
      </c>
    </row>
    <row r="105" spans="1:53">
      <c r="A105" t="s">
        <v>468</v>
      </c>
      <c r="B105" t="s">
        <v>364</v>
      </c>
      <c r="C105">
        <v>0</v>
      </c>
      <c r="D105">
        <v>0</v>
      </c>
      <c r="E105">
        <v>0</v>
      </c>
      <c r="F105" s="48">
        <v>713359612.20000005</v>
      </c>
      <c r="G105" s="48">
        <v>1614966899.8499999</v>
      </c>
      <c r="H105" s="48">
        <v>2491529540.6100001</v>
      </c>
      <c r="I105" s="48">
        <v>3343743219.1399999</v>
      </c>
      <c r="J105" s="48">
        <v>4172284295.48</v>
      </c>
      <c r="K105" s="48">
        <v>4977810341.9200001</v>
      </c>
      <c r="L105" s="48">
        <v>5760960664.8500004</v>
      </c>
      <c r="M105" s="48">
        <v>6522356812.1400003</v>
      </c>
      <c r="N105" s="48">
        <v>7262603066.46</v>
      </c>
      <c r="O105" s="48">
        <v>7982286924.8199997</v>
      </c>
      <c r="P105" s="48">
        <v>8681979564.8899994</v>
      </c>
      <c r="Q105" s="48">
        <v>9362236298.2900009</v>
      </c>
      <c r="R105" s="48">
        <v>10023597011.32</v>
      </c>
      <c r="S105" s="48">
        <v>10666586593.440001</v>
      </c>
      <c r="T105" s="48">
        <v>11291715353.83</v>
      </c>
      <c r="U105" s="48">
        <v>11899479426.43</v>
      </c>
      <c r="V105" s="48">
        <v>12490361163.68</v>
      </c>
      <c r="W105" s="48">
        <v>13064829519.34</v>
      </c>
      <c r="X105" s="48">
        <v>13623340420.67</v>
      </c>
      <c r="Y105" s="48">
        <v>14166337130.299999</v>
      </c>
      <c r="Z105" s="48">
        <v>14694250598</v>
      </c>
      <c r="AA105" s="48">
        <v>15207499802.709999</v>
      </c>
      <c r="AB105" s="48">
        <v>15706492085.059999</v>
      </c>
      <c r="AC105" s="48">
        <v>16191623470.68</v>
      </c>
      <c r="AD105" s="48">
        <v>16663278984.48</v>
      </c>
      <c r="AE105" s="48">
        <v>17121832956.23</v>
      </c>
      <c r="AF105" s="48">
        <v>17567649317.650002</v>
      </c>
      <c r="AG105" s="48">
        <v>18001081891.25</v>
      </c>
      <c r="AH105" s="48">
        <v>18001081891.25</v>
      </c>
      <c r="AI105" s="48">
        <v>18001081891.25</v>
      </c>
      <c r="AJ105" s="48">
        <v>18001081891.25</v>
      </c>
      <c r="AK105" s="48">
        <v>18001081891.25</v>
      </c>
      <c r="AL105" s="48">
        <v>18001081891.25</v>
      </c>
      <c r="AM105" s="48">
        <v>18001081891.25</v>
      </c>
      <c r="AN105" s="48">
        <v>18001081891.25</v>
      </c>
      <c r="AO105" s="48">
        <v>18001081891.25</v>
      </c>
      <c r="AP105" s="48">
        <v>18001081891.25</v>
      </c>
      <c r="AQ105" s="48">
        <v>18001081891.25</v>
      </c>
      <c r="AR105" s="48">
        <v>18001081891.25</v>
      </c>
      <c r="AS105" s="48">
        <v>18001081891.25</v>
      </c>
      <c r="AT105" s="48">
        <v>18001081891.25</v>
      </c>
      <c r="AU105" s="48">
        <v>18001081891.25</v>
      </c>
      <c r="AV105" s="48">
        <v>18001081891.25</v>
      </c>
      <c r="AW105" s="48">
        <v>18001081891.25</v>
      </c>
      <c r="AX105" s="48">
        <v>18001081891.25</v>
      </c>
      <c r="AY105" s="48">
        <v>18001081891.25</v>
      </c>
      <c r="AZ105" s="48">
        <v>18001081891.25</v>
      </c>
      <c r="BA105" s="48">
        <v>18001081891.25</v>
      </c>
    </row>
    <row r="106" spans="1:53">
      <c r="A106" t="s">
        <v>469</v>
      </c>
      <c r="B106" t="s">
        <v>364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</row>
    <row r="107" spans="1:53">
      <c r="A107" t="s">
        <v>470</v>
      </c>
      <c r="B107" t="s">
        <v>364</v>
      </c>
      <c r="C107">
        <v>0</v>
      </c>
      <c r="D107" s="48">
        <v>89006938.159999996</v>
      </c>
      <c r="E107" s="48">
        <v>254743826.33000001</v>
      </c>
      <c r="F107" s="48">
        <v>726903286.11000001</v>
      </c>
      <c r="G107" s="48">
        <v>1254733700.05</v>
      </c>
      <c r="H107" s="48">
        <v>1764050830.8900001</v>
      </c>
      <c r="I107" s="48">
        <v>2255544877.29</v>
      </c>
      <c r="J107" s="48">
        <v>2729878876.8699999</v>
      </c>
      <c r="K107" s="48">
        <v>3187689819.6999998</v>
      </c>
      <c r="L107" s="48">
        <v>3629589715.0500002</v>
      </c>
      <c r="M107" s="48">
        <v>4056166613.2600002</v>
      </c>
      <c r="N107" s="48">
        <v>4467985584.7700005</v>
      </c>
      <c r="O107" s="48">
        <v>4865589658</v>
      </c>
      <c r="P107" s="48">
        <v>5249500717.9300003</v>
      </c>
      <c r="Q107" s="48">
        <v>5620220366.9899998</v>
      </c>
      <c r="R107" s="48">
        <v>5978230749.8000002</v>
      </c>
      <c r="S107" s="48">
        <v>6323995343.4399996</v>
      </c>
      <c r="T107" s="48">
        <v>6657959714.6000004</v>
      </c>
      <c r="U107" s="48">
        <v>6980552244.9799995</v>
      </c>
      <c r="V107" s="48">
        <v>7292184826.4799995</v>
      </c>
      <c r="W107" s="48">
        <v>7593253527.21</v>
      </c>
      <c r="X107" s="48">
        <v>7884139229.7799997</v>
      </c>
      <c r="Y107" s="48">
        <v>8165208242.8800001</v>
      </c>
      <c r="Z107" s="48">
        <v>8436812887.3900003</v>
      </c>
      <c r="AA107" s="48">
        <v>8699292058.0799999</v>
      </c>
      <c r="AB107" s="48">
        <v>8952971761.8999996</v>
      </c>
      <c r="AC107" s="48">
        <v>9198165633.9099998</v>
      </c>
      <c r="AD107" s="48">
        <v>9435175431.7099991</v>
      </c>
      <c r="AE107" s="48">
        <v>9664291509.4200001</v>
      </c>
      <c r="AF107" s="48">
        <v>9885793271.9300003</v>
      </c>
      <c r="AG107" s="48">
        <v>10099949610.389999</v>
      </c>
      <c r="AH107" s="48">
        <v>10099949610.389999</v>
      </c>
      <c r="AI107" s="48">
        <v>10099949610.389999</v>
      </c>
      <c r="AJ107" s="48">
        <v>10099949610.389999</v>
      </c>
      <c r="AK107" s="48">
        <v>10099949610.389999</v>
      </c>
      <c r="AL107" s="48">
        <v>10099949610.389999</v>
      </c>
      <c r="AM107" s="48">
        <v>10099949610.389999</v>
      </c>
      <c r="AN107" s="48">
        <v>10099949610.389999</v>
      </c>
      <c r="AO107" s="48">
        <v>10099949610.389999</v>
      </c>
      <c r="AP107" s="48">
        <v>10099949610.389999</v>
      </c>
      <c r="AQ107" s="48">
        <v>10099949610.389999</v>
      </c>
      <c r="AR107" s="48">
        <v>10099949610.389999</v>
      </c>
      <c r="AS107" s="48">
        <v>10099949610.389999</v>
      </c>
      <c r="AT107" s="48">
        <v>10099949610.389999</v>
      </c>
      <c r="AU107" s="48">
        <v>10099949610.389999</v>
      </c>
      <c r="AV107" s="48">
        <v>10099949610.389999</v>
      </c>
      <c r="AW107" s="48">
        <v>10099949610.389999</v>
      </c>
      <c r="AX107" s="48">
        <v>10099949610.389999</v>
      </c>
      <c r="AY107" s="48">
        <v>10099949610.389999</v>
      </c>
      <c r="AZ107" s="48">
        <v>10099949610.389999</v>
      </c>
      <c r="BA107" s="48">
        <v>10099949610.389999</v>
      </c>
    </row>
    <row r="108" spans="1:53">
      <c r="A108" t="s">
        <v>471</v>
      </c>
      <c r="C108">
        <v>0</v>
      </c>
      <c r="D108" s="48">
        <v>89006938.159999996</v>
      </c>
      <c r="E108" s="48">
        <v>254743826.33000001</v>
      </c>
      <c r="F108" s="48">
        <v>726903286.11000001</v>
      </c>
      <c r="G108" s="48">
        <v>1254733700.05</v>
      </c>
      <c r="H108" s="48">
        <v>1764050830.8900001</v>
      </c>
      <c r="I108" s="48">
        <v>2255544877.29</v>
      </c>
      <c r="J108" s="48">
        <v>2729878876.8699999</v>
      </c>
      <c r="K108" s="48">
        <v>3187689819.6999998</v>
      </c>
      <c r="L108" s="48">
        <v>3629589715.0500002</v>
      </c>
      <c r="M108" s="48">
        <v>4056166613.2600002</v>
      </c>
      <c r="N108" s="48">
        <v>4467985584.7700005</v>
      </c>
      <c r="O108" s="48">
        <v>4865589658</v>
      </c>
      <c r="P108" s="48">
        <v>5249500717.9300003</v>
      </c>
      <c r="Q108" s="48">
        <v>5620220366.9899998</v>
      </c>
      <c r="R108" s="48">
        <v>5978230749.8000002</v>
      </c>
      <c r="S108" s="48">
        <v>6323995343.4399996</v>
      </c>
      <c r="T108" s="48">
        <v>6657959714.6000004</v>
      </c>
      <c r="U108" s="48">
        <v>6980552244.9799995</v>
      </c>
      <c r="V108" s="48">
        <v>7292184826.4799995</v>
      </c>
      <c r="W108" s="48">
        <v>7593253527.21</v>
      </c>
      <c r="X108" s="48">
        <v>7884139229.7799997</v>
      </c>
      <c r="Y108" s="48">
        <v>8165208242.8800001</v>
      </c>
      <c r="Z108" s="48">
        <v>8436812887.3900003</v>
      </c>
      <c r="AA108" s="48">
        <v>8699292058.0799999</v>
      </c>
      <c r="AB108" s="48">
        <v>8952971761.8999996</v>
      </c>
      <c r="AC108" s="48">
        <v>9198165633.9099998</v>
      </c>
      <c r="AD108" s="48">
        <v>9435175431.7099991</v>
      </c>
      <c r="AE108" s="48">
        <v>9664291509.4200001</v>
      </c>
      <c r="AF108" s="48">
        <v>9885793271.9300003</v>
      </c>
      <c r="AG108" s="48">
        <v>10099949610.389999</v>
      </c>
      <c r="AH108" s="48">
        <v>10099949610.389999</v>
      </c>
      <c r="AI108" s="48">
        <v>10099949610.389999</v>
      </c>
      <c r="AJ108" s="48">
        <v>10099949610.389999</v>
      </c>
      <c r="AK108" s="48">
        <v>10099949610.389999</v>
      </c>
      <c r="AL108" s="48">
        <v>10099949610.389999</v>
      </c>
      <c r="AM108" s="48">
        <v>10099949610.389999</v>
      </c>
      <c r="AN108" s="48">
        <v>10099949610.389999</v>
      </c>
      <c r="AO108" s="48">
        <v>10099949610.389999</v>
      </c>
      <c r="AP108" s="48">
        <v>10099949610.389999</v>
      </c>
      <c r="AQ108" s="48">
        <v>10099949610.389999</v>
      </c>
      <c r="AR108" s="48">
        <v>10099949610.389999</v>
      </c>
      <c r="AS108" s="48">
        <v>10099949610.389999</v>
      </c>
      <c r="AT108" s="48">
        <v>10099949610.389999</v>
      </c>
      <c r="AU108" s="48">
        <v>10099949610.389999</v>
      </c>
      <c r="AV108" s="48">
        <v>10099949610.389999</v>
      </c>
      <c r="AW108" s="48">
        <v>10099949610.389999</v>
      </c>
      <c r="AX108" s="48">
        <v>10099949610.389999</v>
      </c>
      <c r="AY108" s="48">
        <v>10099949610.389999</v>
      </c>
      <c r="AZ108" s="48">
        <v>10099949610.389999</v>
      </c>
      <c r="BA108" s="48">
        <v>10099949610.389999</v>
      </c>
    </row>
    <row r="109" spans="1:53">
      <c r="A109" t="s">
        <v>472</v>
      </c>
      <c r="B109" t="s">
        <v>364</v>
      </c>
      <c r="C109">
        <v>0</v>
      </c>
      <c r="D109" s="48">
        <v>-89006938.159999996</v>
      </c>
      <c r="E109" s="48">
        <v>-165736888.16</v>
      </c>
      <c r="F109" s="48">
        <v>241200152.41999999</v>
      </c>
      <c r="G109" s="48">
        <v>373776873.70999998</v>
      </c>
      <c r="H109" s="48">
        <v>367245509.92000002</v>
      </c>
      <c r="I109" s="48">
        <v>360719632.12</v>
      </c>
      <c r="J109" s="48">
        <v>354207076.76999998</v>
      </c>
      <c r="K109" s="48">
        <v>347715103.61000001</v>
      </c>
      <c r="L109" s="48">
        <v>341250427.57999998</v>
      </c>
      <c r="M109" s="48">
        <v>334819249.07999998</v>
      </c>
      <c r="N109" s="48">
        <v>328427282.81</v>
      </c>
      <c r="O109" s="48">
        <v>322079785.13</v>
      </c>
      <c r="P109" s="48">
        <v>315781580.13999999</v>
      </c>
      <c r="Q109" s="48">
        <v>309537084.35000002</v>
      </c>
      <c r="R109" s="48">
        <v>303350330.22000003</v>
      </c>
      <c r="S109" s="48">
        <v>297224988.47000003</v>
      </c>
      <c r="T109" s="48">
        <v>291164389.23000002</v>
      </c>
      <c r="U109" s="48">
        <v>285171542.22000003</v>
      </c>
      <c r="V109" s="48">
        <v>279249155.75</v>
      </c>
      <c r="W109" s="48">
        <v>273399654.92000002</v>
      </c>
      <c r="X109" s="48">
        <v>267625198.77000001</v>
      </c>
      <c r="Y109" s="48">
        <v>261927696.53999999</v>
      </c>
      <c r="Z109" s="48">
        <v>256308823.19</v>
      </c>
      <c r="AA109" s="48">
        <v>250770034.02000001</v>
      </c>
      <c r="AB109" s="48">
        <v>245312578.53</v>
      </c>
      <c r="AC109" s="48">
        <v>239937513.61000001</v>
      </c>
      <c r="AD109" s="48">
        <v>234645716</v>
      </c>
      <c r="AE109" s="48">
        <v>229437894.03999999</v>
      </c>
      <c r="AF109" s="48">
        <v>224314598.91</v>
      </c>
      <c r="AG109" s="48">
        <v>219276235.15000001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6" spans="1:33">
      <c r="A116" t="s">
        <v>473</v>
      </c>
      <c r="B116" t="s">
        <v>364</v>
      </c>
      <c r="C116">
        <v>0</v>
      </c>
      <c r="D116" s="48">
        <v>-89006938.159999996</v>
      </c>
      <c r="E116" s="48">
        <v>-254743826.33000001</v>
      </c>
      <c r="F116" s="48">
        <v>-13543673.91</v>
      </c>
      <c r="G116" s="48">
        <v>360233199.80000001</v>
      </c>
      <c r="H116" s="48">
        <v>727478709.72000003</v>
      </c>
      <c r="I116" s="48">
        <v>1088198341.8499999</v>
      </c>
      <c r="J116" s="48">
        <v>1442405418.6099999</v>
      </c>
      <c r="K116" s="48">
        <v>1790120522.22</v>
      </c>
      <c r="L116" s="48">
        <v>2131370949.8</v>
      </c>
      <c r="M116" s="48">
        <v>2466190198.8800001</v>
      </c>
      <c r="N116" s="48">
        <v>2794617481.6900001</v>
      </c>
      <c r="O116" s="48">
        <v>3116697266.8200002</v>
      </c>
      <c r="P116" s="48">
        <v>3432478846.96</v>
      </c>
      <c r="Q116" s="48">
        <v>3742015931.3099999</v>
      </c>
      <c r="R116" s="48">
        <v>4045366261.5300002</v>
      </c>
      <c r="S116" s="48">
        <v>4342591250</v>
      </c>
      <c r="T116" s="48">
        <v>4633755639.2299995</v>
      </c>
      <c r="U116" s="48">
        <v>4918927181.4499998</v>
      </c>
      <c r="V116" s="48">
        <v>5198176337.1999998</v>
      </c>
      <c r="W116" s="48">
        <v>5471575992.1199999</v>
      </c>
      <c r="X116" s="48">
        <v>5739201190.8900003</v>
      </c>
      <c r="Y116" s="48">
        <v>6001128887.4200001</v>
      </c>
      <c r="Z116" s="48">
        <v>6257437710.6099997</v>
      </c>
      <c r="AA116" s="48">
        <v>6508207744.6300001</v>
      </c>
      <c r="AB116" s="48">
        <v>6753520323.1599998</v>
      </c>
      <c r="AC116" s="48">
        <v>6993457836.7700005</v>
      </c>
      <c r="AD116" s="48">
        <v>7228103552.7700005</v>
      </c>
      <c r="AE116" s="48">
        <v>7457541446.8100004</v>
      </c>
      <c r="AF116" s="48">
        <v>7681856045.7200003</v>
      </c>
      <c r="AG116" s="48">
        <v>7901132280.8699999</v>
      </c>
    </row>
    <row r="117" spans="1:33">
      <c r="A117" t="s">
        <v>474</v>
      </c>
      <c r="B117" t="s">
        <v>308</v>
      </c>
      <c r="C117">
        <v>0</v>
      </c>
    </row>
    <row r="118" spans="1:33">
      <c r="A118" t="s">
        <v>475</v>
      </c>
      <c r="B118" t="s">
        <v>308</v>
      </c>
      <c r="C118">
        <v>0</v>
      </c>
    </row>
    <row r="119" spans="1:33">
      <c r="A119" t="s">
        <v>476</v>
      </c>
      <c r="B119" t="s">
        <v>308</v>
      </c>
      <c r="C119">
        <v>0</v>
      </c>
    </row>
    <row r="120" spans="1:33">
      <c r="A120" t="s">
        <v>477</v>
      </c>
      <c r="B120" t="s">
        <v>285</v>
      </c>
      <c r="C120">
        <v>3.04</v>
      </c>
      <c r="G120" s="77">
        <v>3.04</v>
      </c>
    </row>
    <row r="121" spans="1:33">
      <c r="A121" t="s">
        <v>478</v>
      </c>
      <c r="B121" t="s">
        <v>308</v>
      </c>
      <c r="C121">
        <v>0</v>
      </c>
    </row>
    <row r="122" spans="1:33">
      <c r="A122" t="s">
        <v>479</v>
      </c>
      <c r="C122">
        <v>0</v>
      </c>
    </row>
    <row r="131" spans="1:53">
      <c r="B131" t="s">
        <v>480</v>
      </c>
    </row>
    <row r="133" spans="1:53">
      <c r="A133" t="s">
        <v>240</v>
      </c>
      <c r="B133" t="s">
        <v>481</v>
      </c>
    </row>
    <row r="134" spans="1:53">
      <c r="A134" t="s">
        <v>482</v>
      </c>
      <c r="B134" t="s">
        <v>483</v>
      </c>
      <c r="C134">
        <v>0</v>
      </c>
      <c r="D134" t="s">
        <v>484</v>
      </c>
      <c r="E134" t="s">
        <v>484</v>
      </c>
      <c r="F134" t="s">
        <v>484</v>
      </c>
      <c r="G134" t="s">
        <v>485</v>
      </c>
      <c r="H134" t="s">
        <v>485</v>
      </c>
      <c r="I134" t="s">
        <v>485</v>
      </c>
      <c r="J134" t="s">
        <v>485</v>
      </c>
      <c r="K134" t="s">
        <v>485</v>
      </c>
      <c r="L134" t="s">
        <v>485</v>
      </c>
      <c r="M134" t="s">
        <v>485</v>
      </c>
      <c r="N134" t="s">
        <v>485</v>
      </c>
      <c r="O134" t="s">
        <v>485</v>
      </c>
      <c r="P134" t="s">
        <v>485</v>
      </c>
      <c r="Q134" t="s">
        <v>485</v>
      </c>
      <c r="R134" t="s">
        <v>485</v>
      </c>
      <c r="S134" t="s">
        <v>485</v>
      </c>
      <c r="T134" t="s">
        <v>485</v>
      </c>
      <c r="U134" t="s">
        <v>485</v>
      </c>
      <c r="V134" t="s">
        <v>485</v>
      </c>
      <c r="W134" t="s">
        <v>485</v>
      </c>
      <c r="X134" t="s">
        <v>485</v>
      </c>
      <c r="Y134" t="s">
        <v>485</v>
      </c>
      <c r="Z134" t="s">
        <v>485</v>
      </c>
      <c r="AA134" t="s">
        <v>485</v>
      </c>
      <c r="AB134" t="s">
        <v>485</v>
      </c>
      <c r="AC134" t="s">
        <v>485</v>
      </c>
      <c r="AD134" t="s">
        <v>485</v>
      </c>
      <c r="AE134" t="s">
        <v>485</v>
      </c>
      <c r="AF134" t="s">
        <v>485</v>
      </c>
      <c r="AG134" t="s">
        <v>485</v>
      </c>
      <c r="AH134" t="s">
        <v>485</v>
      </c>
      <c r="AI134" t="s">
        <v>485</v>
      </c>
      <c r="AJ134" t="s">
        <v>485</v>
      </c>
      <c r="AK134" t="s">
        <v>485</v>
      </c>
      <c r="AL134" t="s">
        <v>485</v>
      </c>
      <c r="AM134" t="s">
        <v>485</v>
      </c>
      <c r="AN134" t="s">
        <v>485</v>
      </c>
      <c r="AO134" t="s">
        <v>485</v>
      </c>
      <c r="AP134" t="s">
        <v>485</v>
      </c>
      <c r="AQ134" t="s">
        <v>485</v>
      </c>
      <c r="AR134" t="s">
        <v>485</v>
      </c>
      <c r="AS134" t="s">
        <v>485</v>
      </c>
      <c r="AT134" t="s">
        <v>485</v>
      </c>
      <c r="AU134" t="s">
        <v>485</v>
      </c>
      <c r="AV134" t="s">
        <v>485</v>
      </c>
      <c r="AW134" t="s">
        <v>485</v>
      </c>
      <c r="AX134" t="s">
        <v>485</v>
      </c>
      <c r="AY134" t="s">
        <v>485</v>
      </c>
      <c r="AZ134" t="s">
        <v>485</v>
      </c>
      <c r="BA134" t="s">
        <v>485</v>
      </c>
    </row>
    <row r="135" spans="1:53">
      <c r="A135" t="s">
        <v>486</v>
      </c>
      <c r="B135" t="s">
        <v>483</v>
      </c>
      <c r="C135">
        <v>0</v>
      </c>
      <c r="D135" t="s">
        <v>485</v>
      </c>
      <c r="E135" t="s">
        <v>485</v>
      </c>
      <c r="F135" t="s">
        <v>485</v>
      </c>
      <c r="G135" t="s">
        <v>485</v>
      </c>
      <c r="H135" t="s">
        <v>485</v>
      </c>
      <c r="I135" t="s">
        <v>485</v>
      </c>
      <c r="J135" t="s">
        <v>485</v>
      </c>
      <c r="K135" t="s">
        <v>485</v>
      </c>
      <c r="L135" t="s">
        <v>485</v>
      </c>
      <c r="M135" t="s">
        <v>485</v>
      </c>
      <c r="N135" t="s">
        <v>485</v>
      </c>
      <c r="O135" t="s">
        <v>485</v>
      </c>
      <c r="P135" t="s">
        <v>485</v>
      </c>
      <c r="Q135" t="s">
        <v>485</v>
      </c>
      <c r="R135" t="s">
        <v>485</v>
      </c>
      <c r="S135" t="s">
        <v>485</v>
      </c>
      <c r="T135" t="s">
        <v>485</v>
      </c>
      <c r="U135" t="s">
        <v>485</v>
      </c>
      <c r="V135" t="s">
        <v>485</v>
      </c>
      <c r="W135" t="s">
        <v>485</v>
      </c>
      <c r="X135" t="s">
        <v>485</v>
      </c>
      <c r="Y135" t="s">
        <v>485</v>
      </c>
      <c r="Z135" t="s">
        <v>485</v>
      </c>
      <c r="AA135" t="s">
        <v>485</v>
      </c>
      <c r="AB135" t="s">
        <v>485</v>
      </c>
      <c r="AC135" t="s">
        <v>485</v>
      </c>
      <c r="AD135" t="s">
        <v>485</v>
      </c>
      <c r="AE135" t="s">
        <v>485</v>
      </c>
      <c r="AF135" t="s">
        <v>485</v>
      </c>
      <c r="AG135" t="s">
        <v>485</v>
      </c>
      <c r="AH135" t="s">
        <v>485</v>
      </c>
      <c r="AI135" t="s">
        <v>485</v>
      </c>
      <c r="AJ135" t="s">
        <v>485</v>
      </c>
      <c r="AK135" t="s">
        <v>485</v>
      </c>
      <c r="AL135" t="s">
        <v>485</v>
      </c>
      <c r="AM135" t="s">
        <v>485</v>
      </c>
      <c r="AN135" t="s">
        <v>485</v>
      </c>
      <c r="AO135" t="s">
        <v>485</v>
      </c>
      <c r="AP135" t="s">
        <v>485</v>
      </c>
      <c r="AQ135" t="s">
        <v>485</v>
      </c>
      <c r="AR135" t="s">
        <v>485</v>
      </c>
      <c r="AS135" t="s">
        <v>485</v>
      </c>
      <c r="AT135" t="s">
        <v>485</v>
      </c>
      <c r="AU135" t="s">
        <v>485</v>
      </c>
      <c r="AV135" t="s">
        <v>485</v>
      </c>
      <c r="AW135" t="s">
        <v>485</v>
      </c>
      <c r="AX135" t="s">
        <v>485</v>
      </c>
      <c r="AY135" t="s">
        <v>485</v>
      </c>
      <c r="AZ135" t="s">
        <v>485</v>
      </c>
      <c r="BA135" t="s">
        <v>485</v>
      </c>
    </row>
    <row r="136" spans="1:53">
      <c r="A136" t="s">
        <v>487</v>
      </c>
      <c r="B136" t="s">
        <v>483</v>
      </c>
      <c r="C136">
        <v>0</v>
      </c>
      <c r="D136" t="s">
        <v>485</v>
      </c>
      <c r="E136" t="s">
        <v>485</v>
      </c>
      <c r="F136" t="s">
        <v>485</v>
      </c>
      <c r="G136" t="s">
        <v>485</v>
      </c>
      <c r="H136" t="s">
        <v>485</v>
      </c>
      <c r="I136" t="s">
        <v>485</v>
      </c>
      <c r="J136" t="s">
        <v>485</v>
      </c>
      <c r="K136" t="s">
        <v>485</v>
      </c>
      <c r="L136" t="s">
        <v>485</v>
      </c>
      <c r="M136" t="s">
        <v>485</v>
      </c>
      <c r="N136" t="s">
        <v>485</v>
      </c>
      <c r="O136" t="s">
        <v>485</v>
      </c>
      <c r="P136" t="s">
        <v>485</v>
      </c>
      <c r="Q136" t="s">
        <v>485</v>
      </c>
      <c r="R136" t="s">
        <v>485</v>
      </c>
      <c r="S136" t="s">
        <v>485</v>
      </c>
      <c r="T136" t="s">
        <v>485</v>
      </c>
      <c r="U136" t="s">
        <v>485</v>
      </c>
      <c r="V136" t="s">
        <v>485</v>
      </c>
      <c r="W136" t="s">
        <v>485</v>
      </c>
      <c r="X136" t="s">
        <v>485</v>
      </c>
      <c r="Y136" t="s">
        <v>485</v>
      </c>
      <c r="Z136" t="s">
        <v>485</v>
      </c>
      <c r="AA136" t="s">
        <v>485</v>
      </c>
      <c r="AB136" t="s">
        <v>485</v>
      </c>
      <c r="AC136" t="s">
        <v>485</v>
      </c>
      <c r="AD136" t="s">
        <v>485</v>
      </c>
      <c r="AE136" t="s">
        <v>485</v>
      </c>
      <c r="AF136" t="s">
        <v>485</v>
      </c>
      <c r="AG136" t="s">
        <v>485</v>
      </c>
      <c r="AH136" t="s">
        <v>485</v>
      </c>
      <c r="AI136" t="s">
        <v>485</v>
      </c>
      <c r="AJ136" t="s">
        <v>485</v>
      </c>
      <c r="AK136" t="s">
        <v>485</v>
      </c>
      <c r="AL136" t="s">
        <v>485</v>
      </c>
      <c r="AM136" t="s">
        <v>485</v>
      </c>
      <c r="AN136" t="s">
        <v>485</v>
      </c>
      <c r="AO136" t="s">
        <v>485</v>
      </c>
      <c r="AP136" t="s">
        <v>485</v>
      </c>
      <c r="AQ136" t="s">
        <v>485</v>
      </c>
      <c r="AR136" t="s">
        <v>485</v>
      </c>
      <c r="AS136" t="s">
        <v>485</v>
      </c>
      <c r="AT136" t="s">
        <v>485</v>
      </c>
      <c r="AU136" t="s">
        <v>485</v>
      </c>
      <c r="AV136" t="s">
        <v>485</v>
      </c>
      <c r="AW136" t="s">
        <v>485</v>
      </c>
      <c r="AX136" t="s">
        <v>485</v>
      </c>
      <c r="AY136" t="s">
        <v>485</v>
      </c>
      <c r="AZ136" t="s">
        <v>485</v>
      </c>
      <c r="BA136" t="s">
        <v>485</v>
      </c>
    </row>
    <row r="137" spans="1:53">
      <c r="A137" t="s">
        <v>488</v>
      </c>
      <c r="B137" t="s">
        <v>483</v>
      </c>
      <c r="C137">
        <v>0</v>
      </c>
      <c r="D137" t="s">
        <v>485</v>
      </c>
      <c r="E137" t="s">
        <v>485</v>
      </c>
      <c r="F137" t="s">
        <v>485</v>
      </c>
      <c r="G137" t="s">
        <v>485</v>
      </c>
      <c r="H137" t="s">
        <v>485</v>
      </c>
      <c r="I137" t="s">
        <v>485</v>
      </c>
      <c r="J137" t="s">
        <v>485</v>
      </c>
      <c r="K137" t="s">
        <v>485</v>
      </c>
      <c r="L137" t="s">
        <v>485</v>
      </c>
      <c r="M137" t="s">
        <v>485</v>
      </c>
      <c r="N137" t="s">
        <v>485</v>
      </c>
      <c r="O137" t="s">
        <v>485</v>
      </c>
      <c r="P137" t="s">
        <v>485</v>
      </c>
      <c r="Q137" t="s">
        <v>485</v>
      </c>
      <c r="R137" t="s">
        <v>485</v>
      </c>
      <c r="S137" t="s">
        <v>485</v>
      </c>
      <c r="T137" t="s">
        <v>485</v>
      </c>
      <c r="U137" t="s">
        <v>485</v>
      </c>
      <c r="V137" t="s">
        <v>485</v>
      </c>
      <c r="W137" t="s">
        <v>485</v>
      </c>
      <c r="X137" t="s">
        <v>485</v>
      </c>
      <c r="Y137" t="s">
        <v>485</v>
      </c>
      <c r="Z137" t="s">
        <v>485</v>
      </c>
      <c r="AA137" t="s">
        <v>485</v>
      </c>
      <c r="AB137" t="s">
        <v>485</v>
      </c>
      <c r="AC137" t="s">
        <v>485</v>
      </c>
      <c r="AD137" t="s">
        <v>485</v>
      </c>
      <c r="AE137" t="s">
        <v>485</v>
      </c>
      <c r="AF137" t="s">
        <v>485</v>
      </c>
      <c r="AG137" t="s">
        <v>485</v>
      </c>
      <c r="AH137" t="s">
        <v>485</v>
      </c>
      <c r="AI137" t="s">
        <v>485</v>
      </c>
      <c r="AJ137" t="s">
        <v>485</v>
      </c>
      <c r="AK137" t="s">
        <v>485</v>
      </c>
      <c r="AL137" t="s">
        <v>485</v>
      </c>
      <c r="AM137" t="s">
        <v>485</v>
      </c>
      <c r="AN137" t="s">
        <v>485</v>
      </c>
      <c r="AO137" t="s">
        <v>485</v>
      </c>
      <c r="AP137" t="s">
        <v>485</v>
      </c>
      <c r="AQ137" t="s">
        <v>485</v>
      </c>
      <c r="AR137" t="s">
        <v>485</v>
      </c>
      <c r="AS137" t="s">
        <v>485</v>
      </c>
      <c r="AT137" t="s">
        <v>485</v>
      </c>
      <c r="AU137" t="s">
        <v>485</v>
      </c>
      <c r="AV137" t="s">
        <v>485</v>
      </c>
      <c r="AW137" t="s">
        <v>485</v>
      </c>
      <c r="AX137" t="s">
        <v>485</v>
      </c>
      <c r="AY137" t="s">
        <v>485</v>
      </c>
      <c r="AZ137" t="s">
        <v>485</v>
      </c>
      <c r="BA137" t="s">
        <v>485</v>
      </c>
    </row>
    <row r="138" spans="1:53">
      <c r="A138" t="s">
        <v>489</v>
      </c>
      <c r="B138" t="s">
        <v>490</v>
      </c>
      <c r="C138" t="s">
        <v>484</v>
      </c>
      <c r="D138" t="s">
        <v>485</v>
      </c>
      <c r="E138" t="s">
        <v>485</v>
      </c>
      <c r="F138" t="s">
        <v>485</v>
      </c>
      <c r="G138" t="s">
        <v>485</v>
      </c>
      <c r="H138" t="s">
        <v>485</v>
      </c>
      <c r="I138" t="s">
        <v>485</v>
      </c>
      <c r="J138" t="s">
        <v>485</v>
      </c>
      <c r="K138" t="s">
        <v>485</v>
      </c>
      <c r="L138" t="s">
        <v>485</v>
      </c>
      <c r="M138" t="s">
        <v>485</v>
      </c>
      <c r="N138" t="s">
        <v>485</v>
      </c>
      <c r="O138" t="s">
        <v>485</v>
      </c>
      <c r="P138" t="s">
        <v>485</v>
      </c>
      <c r="Q138" t="s">
        <v>485</v>
      </c>
      <c r="R138" t="s">
        <v>485</v>
      </c>
      <c r="S138" t="s">
        <v>485</v>
      </c>
      <c r="T138" t="s">
        <v>485</v>
      </c>
      <c r="U138" t="s">
        <v>485</v>
      </c>
      <c r="V138" t="s">
        <v>485</v>
      </c>
      <c r="W138" t="s">
        <v>485</v>
      </c>
      <c r="X138" t="s">
        <v>485</v>
      </c>
      <c r="Y138" t="s">
        <v>485</v>
      </c>
      <c r="Z138" t="s">
        <v>485</v>
      </c>
      <c r="AA138" t="s">
        <v>485</v>
      </c>
      <c r="AB138" t="s">
        <v>485</v>
      </c>
      <c r="AC138" t="s">
        <v>485</v>
      </c>
      <c r="AD138" t="s">
        <v>485</v>
      </c>
      <c r="AE138" t="s">
        <v>485</v>
      </c>
      <c r="AF138" t="s">
        <v>485</v>
      </c>
      <c r="AG138" t="s">
        <v>485</v>
      </c>
      <c r="AH138" t="s">
        <v>485</v>
      </c>
      <c r="AI138" t="s">
        <v>485</v>
      </c>
      <c r="AJ138" t="s">
        <v>485</v>
      </c>
      <c r="AK138" t="s">
        <v>485</v>
      </c>
      <c r="AL138" t="s">
        <v>485</v>
      </c>
      <c r="AM138" t="s">
        <v>485</v>
      </c>
      <c r="AN138" t="s">
        <v>485</v>
      </c>
      <c r="AO138" t="s">
        <v>485</v>
      </c>
      <c r="AP138" t="s">
        <v>485</v>
      </c>
      <c r="AQ138" t="s">
        <v>485</v>
      </c>
      <c r="AR138" t="s">
        <v>485</v>
      </c>
      <c r="AS138" t="s">
        <v>485</v>
      </c>
      <c r="AT138" t="s">
        <v>485</v>
      </c>
      <c r="AU138" t="s">
        <v>485</v>
      </c>
      <c r="AV138" t="s">
        <v>485</v>
      </c>
      <c r="AW138" t="s">
        <v>485</v>
      </c>
      <c r="AX138" t="s">
        <v>485</v>
      </c>
      <c r="AY138" t="s">
        <v>485</v>
      </c>
      <c r="AZ138" t="s">
        <v>485</v>
      </c>
      <c r="BA138" t="s">
        <v>485</v>
      </c>
    </row>
    <row r="141" spans="1:53">
      <c r="A141" t="s">
        <v>491</v>
      </c>
    </row>
    <row r="142" spans="1:53">
      <c r="A142" t="s">
        <v>492</v>
      </c>
    </row>
    <row r="143" spans="1:53">
      <c r="A143" t="s">
        <v>493</v>
      </c>
    </row>
    <row r="160" spans="1:1">
      <c r="A160" t="s">
        <v>494</v>
      </c>
    </row>
    <row r="165" spans="1:33">
      <c r="A165" t="s">
        <v>495</v>
      </c>
    </row>
    <row r="166" spans="1:33">
      <c r="A166" t="s">
        <v>496</v>
      </c>
    </row>
    <row r="168" spans="1:33">
      <c r="A168" t="s">
        <v>497</v>
      </c>
      <c r="B168" t="s">
        <v>297</v>
      </c>
      <c r="E168" s="48">
        <v>5425184.7999999998</v>
      </c>
      <c r="F168" s="48">
        <v>5425184.7999999998</v>
      </c>
      <c r="G168" s="48">
        <v>5425184.7999999998</v>
      </c>
      <c r="H168" s="48">
        <v>5425184.7999999998</v>
      </c>
      <c r="I168" s="48">
        <v>5425184.7999999998</v>
      </c>
      <c r="J168" s="48">
        <v>5425184.7999999998</v>
      </c>
      <c r="K168" s="48">
        <v>5425184.7999999998</v>
      </c>
      <c r="L168" s="48">
        <v>5425184.7999999998</v>
      </c>
      <c r="M168" s="48">
        <v>5425184.7999999998</v>
      </c>
      <c r="N168" s="48">
        <v>5425184.7999999998</v>
      </c>
      <c r="O168" s="48">
        <v>5425184.7999999998</v>
      </c>
      <c r="P168" s="48">
        <v>5425184.7999999998</v>
      </c>
      <c r="Q168" s="48">
        <v>5425184.7999999998</v>
      </c>
      <c r="R168" s="48">
        <v>5425184.7999999998</v>
      </c>
      <c r="S168" s="48">
        <v>5425184.7999999998</v>
      </c>
      <c r="T168" s="48">
        <v>5425184.7999999998</v>
      </c>
      <c r="U168" s="48">
        <v>5425184.7999999998</v>
      </c>
      <c r="V168" s="48">
        <v>5425184.7999999998</v>
      </c>
      <c r="W168" s="48">
        <v>5425184.7999999998</v>
      </c>
      <c r="X168" s="48">
        <v>5425184.7999999998</v>
      </c>
      <c r="Y168" s="48">
        <v>5425184.7999999998</v>
      </c>
      <c r="Z168" s="48">
        <v>5425184.7999999998</v>
      </c>
      <c r="AA168" s="48">
        <v>5425184.7999999998</v>
      </c>
      <c r="AB168" s="48">
        <v>5425184.7999999998</v>
      </c>
      <c r="AC168" s="48">
        <v>5425184.7999999998</v>
      </c>
      <c r="AD168" s="48">
        <v>5425184.7999999998</v>
      </c>
      <c r="AE168" s="48">
        <v>5425184.7999999998</v>
      </c>
      <c r="AF168" s="48">
        <v>5425184.7999999998</v>
      </c>
      <c r="AG168" s="48">
        <v>5425184.7999999998</v>
      </c>
    </row>
    <row r="169" spans="1:33">
      <c r="D169" s="48">
        <v>157330359.27000001</v>
      </c>
    </row>
    <row r="171" spans="1:33">
      <c r="A171" t="s">
        <v>498</v>
      </c>
    </row>
    <row r="172" spans="1:33">
      <c r="A172" t="s">
        <v>499</v>
      </c>
      <c r="D172">
        <v>465</v>
      </c>
    </row>
    <row r="174" spans="1:33">
      <c r="A174" t="s">
        <v>497</v>
      </c>
      <c r="B174" t="s">
        <v>297</v>
      </c>
      <c r="E174" s="48">
        <v>10500357.68</v>
      </c>
      <c r="F174" s="48">
        <v>10150345.76</v>
      </c>
      <c r="G174" s="48">
        <v>9800333.8399999999</v>
      </c>
      <c r="H174" s="48">
        <v>9450321.9100000001</v>
      </c>
      <c r="I174" s="48">
        <v>9100309.9900000002</v>
      </c>
      <c r="J174" s="48">
        <v>8750298.0700000003</v>
      </c>
      <c r="K174" s="48">
        <v>8400286.1500000004</v>
      </c>
      <c r="L174" s="48">
        <v>8050274.2199999997</v>
      </c>
      <c r="M174" s="48">
        <v>7700262.2999999998</v>
      </c>
      <c r="N174" s="48">
        <v>7350250.3799999999</v>
      </c>
      <c r="O174" s="48">
        <v>7000238.4500000002</v>
      </c>
      <c r="P174" s="48">
        <v>6650226.5300000003</v>
      </c>
      <c r="Q174" s="48">
        <v>6300214.6100000003</v>
      </c>
      <c r="R174" s="48">
        <v>5950202.6900000004</v>
      </c>
      <c r="S174" s="48">
        <v>5600190.7599999998</v>
      </c>
      <c r="T174" s="48">
        <v>5250178.84</v>
      </c>
      <c r="U174" s="48">
        <v>4900166.92</v>
      </c>
      <c r="V174" s="48">
        <v>4550155</v>
      </c>
      <c r="W174" s="48">
        <v>4200143.07</v>
      </c>
      <c r="X174" s="48">
        <v>3850131.15</v>
      </c>
      <c r="Y174" s="48">
        <v>3500119.23</v>
      </c>
      <c r="Z174" s="48">
        <v>3150107.3</v>
      </c>
      <c r="AA174" s="48">
        <v>2800095.38</v>
      </c>
      <c r="AB174" s="48">
        <v>2450083.46</v>
      </c>
      <c r="AC174" s="48">
        <v>2100071.54</v>
      </c>
      <c r="AD174" s="48">
        <v>1750059.61</v>
      </c>
      <c r="AE174" s="48">
        <v>1400047.69</v>
      </c>
      <c r="AF174" s="48">
        <v>1050035.77</v>
      </c>
      <c r="AG174" s="48">
        <v>700023.85</v>
      </c>
    </row>
    <row r="175" spans="1:33">
      <c r="D175" s="48">
        <v>162405532.15000001</v>
      </c>
    </row>
    <row r="177" spans="1:53">
      <c r="A177" t="s">
        <v>500</v>
      </c>
    </row>
    <row r="178" spans="1:53">
      <c r="A178" t="s">
        <v>496</v>
      </c>
      <c r="D178">
        <v>7.0000000000000007E-2</v>
      </c>
    </row>
    <row r="180" spans="1:53">
      <c r="A180" t="s">
        <v>501</v>
      </c>
      <c r="B180" t="s">
        <v>297</v>
      </c>
      <c r="E180" s="48">
        <v>6781481</v>
      </c>
      <c r="F180" s="48">
        <v>6547636.8300000001</v>
      </c>
      <c r="G180" s="48">
        <v>6329382.2699999996</v>
      </c>
      <c r="H180" s="48">
        <v>6126216.9100000001</v>
      </c>
      <c r="I180" s="48">
        <v>5937717.9299999997</v>
      </c>
      <c r="J180" s="48">
        <v>5763544.8700000001</v>
      </c>
      <c r="K180" s="48">
        <v>5603446.4000000004</v>
      </c>
      <c r="L180" s="48">
        <v>5457269.54</v>
      </c>
      <c r="M180" s="48">
        <v>5324972.0999999996</v>
      </c>
      <c r="N180" s="48">
        <v>5206639.38</v>
      </c>
      <c r="O180" s="48">
        <v>5102506.5999999996</v>
      </c>
      <c r="P180" s="48">
        <v>5012988.9400000004</v>
      </c>
      <c r="Q180" s="48">
        <v>4938722.43</v>
      </c>
      <c r="R180" s="48">
        <v>4880619.82</v>
      </c>
      <c r="S180" s="48">
        <v>4839947.9800000004</v>
      </c>
      <c r="T180" s="48">
        <v>4818437.0999999996</v>
      </c>
      <c r="U180" s="48">
        <v>4818437.0999999996</v>
      </c>
      <c r="V180" s="48">
        <v>4818437.0999999996</v>
      </c>
      <c r="W180" s="48">
        <v>4818437.0999999996</v>
      </c>
      <c r="X180" s="48">
        <v>4818437.0999999996</v>
      </c>
      <c r="Y180" s="48">
        <v>4818437.0999999996</v>
      </c>
      <c r="Z180" s="48">
        <v>4818437.0999999996</v>
      </c>
      <c r="AA180" s="48">
        <v>4818437.0999999996</v>
      </c>
      <c r="AB180" s="48">
        <v>4818437.0999999996</v>
      </c>
      <c r="AC180" s="48">
        <v>4818437.0999999996</v>
      </c>
      <c r="AD180" s="48">
        <v>4818437.0999999996</v>
      </c>
      <c r="AE180" s="48">
        <v>4818437.0999999996</v>
      </c>
      <c r="AF180" s="48">
        <v>4818437.0999999996</v>
      </c>
      <c r="AG180" s="48">
        <v>4818437.0999999996</v>
      </c>
    </row>
    <row r="181" spans="1:53">
      <c r="A181" t="s">
        <v>502</v>
      </c>
      <c r="B181" t="s">
        <v>297</v>
      </c>
      <c r="E181" s="48">
        <v>13562962.01</v>
      </c>
      <c r="F181" s="48">
        <v>12658764.539999999</v>
      </c>
      <c r="G181" s="48">
        <v>11814846.9</v>
      </c>
      <c r="H181" s="48">
        <v>11027190.439999999</v>
      </c>
      <c r="I181" s="48">
        <v>10292044.41</v>
      </c>
      <c r="J181" s="48">
        <v>9605908.1199999992</v>
      </c>
      <c r="K181" s="48">
        <v>8965514.2400000002</v>
      </c>
      <c r="L181" s="48">
        <v>8367813.29</v>
      </c>
      <c r="M181" s="48">
        <v>7809959.0800000001</v>
      </c>
      <c r="N181" s="48">
        <v>7289295.1399999997</v>
      </c>
      <c r="O181" s="48">
        <v>6803342.1299999999</v>
      </c>
      <c r="P181" s="48">
        <v>6349785.9900000002</v>
      </c>
      <c r="Q181" s="48">
        <v>5926466.9199999999</v>
      </c>
      <c r="R181" s="48">
        <v>5531369.1299999999</v>
      </c>
      <c r="S181" s="48">
        <v>5162611.18</v>
      </c>
      <c r="T181" s="48">
        <v>4818437.0999999996</v>
      </c>
      <c r="U181" s="48">
        <v>4497207.96</v>
      </c>
      <c r="V181" s="48">
        <v>4197394.0999999996</v>
      </c>
      <c r="W181" s="48">
        <v>3917567.83</v>
      </c>
      <c r="X181" s="48">
        <v>3656396.64</v>
      </c>
      <c r="Y181" s="48">
        <v>3412636.86</v>
      </c>
      <c r="Z181" s="48">
        <v>3185127.74</v>
      </c>
      <c r="AA181" s="48">
        <v>2972785.89</v>
      </c>
      <c r="AB181" s="48">
        <v>2774600.16</v>
      </c>
      <c r="AC181" s="48">
        <v>2589626.8199999998</v>
      </c>
      <c r="AD181" s="48">
        <v>2416985.0299999998</v>
      </c>
      <c r="AE181" s="48">
        <v>2255852.7000000002</v>
      </c>
      <c r="AF181" s="48">
        <v>2105462.52</v>
      </c>
      <c r="AG181" s="48">
        <v>1965098.35</v>
      </c>
    </row>
    <row r="182" spans="1:53">
      <c r="A182" t="s">
        <v>503</v>
      </c>
      <c r="B182" t="s">
        <v>297</v>
      </c>
      <c r="C182" s="48">
        <v>203444430.09</v>
      </c>
      <c r="D182" s="48">
        <v>203444430.09</v>
      </c>
      <c r="E182" s="48">
        <v>189881468.08000001</v>
      </c>
      <c r="F182" s="48">
        <v>177222703.55000001</v>
      </c>
      <c r="G182" s="48">
        <v>165407856.63999999</v>
      </c>
      <c r="H182" s="48">
        <v>154380666.19999999</v>
      </c>
      <c r="I182" s="48">
        <v>144088621.78999999</v>
      </c>
      <c r="J182" s="48">
        <v>134482713.66999999</v>
      </c>
      <c r="K182" s="48">
        <v>125517199.42</v>
      </c>
      <c r="L182" s="48">
        <v>117149386.13</v>
      </c>
      <c r="M182" s="48">
        <v>109339427.05</v>
      </c>
      <c r="N182" s="48">
        <v>102050131.92</v>
      </c>
      <c r="O182" s="48">
        <v>95246789.790000007</v>
      </c>
      <c r="P182" s="48">
        <v>88897003.799999997</v>
      </c>
      <c r="Q182" s="48">
        <v>82970536.879999995</v>
      </c>
      <c r="R182" s="48">
        <v>77439167.760000005</v>
      </c>
      <c r="S182" s="48">
        <v>72276556.569999993</v>
      </c>
      <c r="T182" s="48">
        <v>67458119.469999999</v>
      </c>
      <c r="U182" s="48">
        <v>62960911.5</v>
      </c>
      <c r="V182" s="48">
        <v>58763517.399999999</v>
      </c>
      <c r="W182" s="48">
        <v>54845949.579999998</v>
      </c>
      <c r="X182" s="48">
        <v>51189552.939999998</v>
      </c>
      <c r="Y182" s="48">
        <v>47776916.079999998</v>
      </c>
      <c r="Z182" s="48">
        <v>44591788.340000004</v>
      </c>
      <c r="AA182" s="48">
        <v>41619002.450000003</v>
      </c>
      <c r="AB182" s="48">
        <v>38844402.280000001</v>
      </c>
      <c r="AC182" s="48">
        <v>36254775.469999999</v>
      </c>
      <c r="AD182" s="48">
        <v>33837790.43</v>
      </c>
      <c r="AE182" s="48">
        <v>31581937.739999998</v>
      </c>
      <c r="AF182" s="48">
        <v>29476475.219999999</v>
      </c>
      <c r="AG182" s="48">
        <v>27511376.870000001</v>
      </c>
      <c r="AH182" s="48">
        <v>203444430.09</v>
      </c>
      <c r="AI182" s="48">
        <v>203444430.09</v>
      </c>
      <c r="AJ182" s="48">
        <v>203444430.09</v>
      </c>
      <c r="AK182" s="48">
        <v>203444430.09</v>
      </c>
      <c r="AL182" s="48">
        <v>203444430.09</v>
      </c>
      <c r="AM182" s="48">
        <v>203444430.09</v>
      </c>
      <c r="AN182" s="48">
        <v>203444430.09</v>
      </c>
      <c r="AO182" s="48">
        <v>203444430.09</v>
      </c>
      <c r="AP182" s="48">
        <v>203444430.09</v>
      </c>
      <c r="AQ182" s="48">
        <v>203444430.09</v>
      </c>
      <c r="AR182" s="48">
        <v>203444430.09</v>
      </c>
      <c r="AS182" s="48">
        <v>203444430.09</v>
      </c>
      <c r="AT182" s="48">
        <v>203444430.09</v>
      </c>
      <c r="AU182" s="48">
        <v>203444430.09</v>
      </c>
      <c r="AV182" s="48">
        <v>203444430.09</v>
      </c>
      <c r="AW182" s="48">
        <v>203444430.09</v>
      </c>
      <c r="AX182" s="48">
        <v>203444430.09</v>
      </c>
      <c r="AY182" s="48">
        <v>203444430.09</v>
      </c>
      <c r="AZ182" s="48">
        <v>203444430.09</v>
      </c>
      <c r="BA182" s="48">
        <v>203444430.09</v>
      </c>
    </row>
    <row r="183" spans="1:53">
      <c r="A183" t="s">
        <v>497</v>
      </c>
      <c r="B183" t="s">
        <v>297</v>
      </c>
      <c r="E183" s="48">
        <v>13562962.01</v>
      </c>
      <c r="F183" s="48">
        <v>12658764.539999999</v>
      </c>
      <c r="G183" s="48">
        <v>11814846.9</v>
      </c>
      <c r="H183" s="48">
        <v>11027190.439999999</v>
      </c>
      <c r="I183" s="48">
        <v>10292044.41</v>
      </c>
      <c r="J183" s="48">
        <v>9605908.1199999992</v>
      </c>
      <c r="K183" s="48">
        <v>8965514.2400000002</v>
      </c>
      <c r="L183" s="48">
        <v>8367813.29</v>
      </c>
      <c r="M183" s="48">
        <v>7809959.0800000001</v>
      </c>
      <c r="N183" s="48">
        <v>7289295.1399999997</v>
      </c>
      <c r="O183" s="48">
        <v>6803342.1299999999</v>
      </c>
      <c r="P183" s="48">
        <v>6349785.9900000002</v>
      </c>
      <c r="Q183" s="48">
        <v>5926466.9199999999</v>
      </c>
      <c r="R183" s="48">
        <v>5531369.1299999999</v>
      </c>
      <c r="S183" s="48">
        <v>5162611.18</v>
      </c>
      <c r="T183" s="48">
        <v>4818437.0999999996</v>
      </c>
      <c r="U183" s="48">
        <v>4818437.0999999996</v>
      </c>
      <c r="V183" s="48">
        <v>4818437.0999999996</v>
      </c>
      <c r="W183" s="48">
        <v>4818437.0999999996</v>
      </c>
      <c r="X183" s="48">
        <v>4818437.0999999996</v>
      </c>
      <c r="Y183" s="48">
        <v>4818437.0999999996</v>
      </c>
      <c r="Z183" s="48">
        <v>4818437.0999999996</v>
      </c>
      <c r="AA183" s="48">
        <v>4818437.0999999996</v>
      </c>
      <c r="AB183" s="48">
        <v>4818437.0999999996</v>
      </c>
      <c r="AC183" s="48">
        <v>4818437.0999999996</v>
      </c>
      <c r="AD183" s="48">
        <v>4818437.0999999996</v>
      </c>
      <c r="AE183" s="48">
        <v>4818437.0999999996</v>
      </c>
      <c r="AF183" s="48">
        <v>4818437.0999999996</v>
      </c>
      <c r="AG183" s="48">
        <v>4818437.0999999996</v>
      </c>
    </row>
    <row r="184" spans="1:53">
      <c r="D184" s="48">
        <v>198625992.99000001</v>
      </c>
    </row>
    <row r="186" spans="1:53">
      <c r="A186" t="s">
        <v>504</v>
      </c>
    </row>
    <row r="187" spans="1:53">
      <c r="A187" t="s">
        <v>505</v>
      </c>
      <c r="E187">
        <v>0.03</v>
      </c>
      <c r="F187">
        <v>0.1</v>
      </c>
      <c r="G187">
        <v>0.16</v>
      </c>
      <c r="H187">
        <v>0.21</v>
      </c>
      <c r="I187">
        <v>0.27</v>
      </c>
      <c r="J187">
        <v>0.32</v>
      </c>
      <c r="K187">
        <v>0.36</v>
      </c>
      <c r="L187">
        <v>0.4</v>
      </c>
      <c r="M187">
        <v>0.44</v>
      </c>
      <c r="N187">
        <v>0.48</v>
      </c>
      <c r="O187">
        <v>0.52</v>
      </c>
      <c r="P187">
        <v>0.55000000000000004</v>
      </c>
      <c r="Q187">
        <v>0.57999999999999996</v>
      </c>
      <c r="R187">
        <v>0.61</v>
      </c>
      <c r="S187">
        <v>0.61</v>
      </c>
      <c r="T187">
        <v>0.61</v>
      </c>
      <c r="U187">
        <v>0.61</v>
      </c>
      <c r="V187">
        <v>0.61</v>
      </c>
      <c r="W187">
        <v>0.61</v>
      </c>
      <c r="X187">
        <v>0.61</v>
      </c>
      <c r="Y187">
        <v>0.61</v>
      </c>
      <c r="Z187">
        <v>0.61</v>
      </c>
      <c r="AA187">
        <v>0.61</v>
      </c>
      <c r="AB187">
        <v>0.61</v>
      </c>
      <c r="AC187">
        <v>0.61</v>
      </c>
      <c r="AD187">
        <v>0.61</v>
      </c>
      <c r="AE187">
        <v>0.61</v>
      </c>
      <c r="AF187">
        <v>0.61</v>
      </c>
      <c r="AG187">
        <v>0.61</v>
      </c>
      <c r="AH187">
        <v>0.61</v>
      </c>
      <c r="AI187">
        <v>0.61</v>
      </c>
      <c r="AJ187">
        <v>0.61</v>
      </c>
      <c r="AK187">
        <v>0.61</v>
      </c>
      <c r="AL187">
        <v>0.61</v>
      </c>
      <c r="AM187">
        <v>0.61</v>
      </c>
      <c r="AN187">
        <v>0.61</v>
      </c>
      <c r="AO187">
        <v>0.61</v>
      </c>
      <c r="AP187">
        <v>0.61</v>
      </c>
      <c r="AQ187">
        <v>0.61</v>
      </c>
      <c r="AR187">
        <v>0.61</v>
      </c>
      <c r="AS187">
        <v>0.61</v>
      </c>
      <c r="AT187">
        <v>0.61</v>
      </c>
      <c r="AU187">
        <v>0.61</v>
      </c>
      <c r="AV187">
        <v>0.61</v>
      </c>
      <c r="AW187">
        <v>0.61</v>
      </c>
      <c r="AX187">
        <v>0.61</v>
      </c>
      <c r="AY187">
        <v>0.61</v>
      </c>
      <c r="AZ187">
        <v>0.61</v>
      </c>
      <c r="BA187">
        <v>0.61</v>
      </c>
    </row>
    <row r="188" spans="1:53">
      <c r="A188" t="s">
        <v>496</v>
      </c>
      <c r="B188">
        <v>7.0000000000000007E-2</v>
      </c>
      <c r="D188">
        <v>0.03</v>
      </c>
      <c r="E188">
        <v>0.06</v>
      </c>
      <c r="F188">
        <v>0.06</v>
      </c>
      <c r="G188">
        <v>0.06</v>
      </c>
      <c r="H188">
        <v>0.05</v>
      </c>
      <c r="I188">
        <v>0.05</v>
      </c>
      <c r="J188">
        <v>0.05</v>
      </c>
      <c r="K188">
        <v>0.04</v>
      </c>
      <c r="L188">
        <v>0.04</v>
      </c>
      <c r="M188">
        <v>0.04</v>
      </c>
      <c r="N188">
        <v>0.03</v>
      </c>
      <c r="O188">
        <v>0.03</v>
      </c>
      <c r="P188">
        <v>0.03</v>
      </c>
      <c r="Q188">
        <v>0.03</v>
      </c>
    </row>
    <row r="190" spans="1:53">
      <c r="A190" t="s">
        <v>501</v>
      </c>
      <c r="B190" t="s">
        <v>297</v>
      </c>
      <c r="D190" s="48">
        <v>6781481</v>
      </c>
      <c r="E190">
        <v>0</v>
      </c>
      <c r="F190" s="48">
        <v>-460030.29</v>
      </c>
      <c r="G190" s="48">
        <v>-921733.42</v>
      </c>
      <c r="H190" s="48">
        <v>-1387497.65</v>
      </c>
      <c r="I190" s="48">
        <v>-1859933.53</v>
      </c>
      <c r="J190" s="48">
        <v>-2341929.85</v>
      </c>
      <c r="K190" s="48">
        <v>-2836723.09</v>
      </c>
      <c r="L190" s="48">
        <v>-3347984.72</v>
      </c>
      <c r="M190" s="48">
        <v>-3879932.21</v>
      </c>
      <c r="N190" s="48">
        <v>-4437471.6900000004</v>
      </c>
      <c r="O190" s="48">
        <v>-5026384.01</v>
      </c>
      <c r="P190" s="48">
        <v>-5653570.3899999997</v>
      </c>
      <c r="Q190" s="48">
        <v>-6327381.6399999997</v>
      </c>
      <c r="R190" s="48">
        <v>-7058066.4699999997</v>
      </c>
      <c r="S190" s="48">
        <v>-7513425.5999999996</v>
      </c>
      <c r="T190" s="48">
        <v>-8031592.8799999999</v>
      </c>
      <c r="U190" s="48">
        <v>-8626525.6899999995</v>
      </c>
      <c r="V190" s="48">
        <v>-9316647.7400000002</v>
      </c>
      <c r="W190" s="48">
        <v>-10126791.02</v>
      </c>
      <c r="X190" s="48">
        <v>-11091247.310000001</v>
      </c>
      <c r="Y190" s="48">
        <v>-12258747.029999999</v>
      </c>
      <c r="Z190" s="48">
        <v>-13700952.560000001</v>
      </c>
      <c r="AA190" s="48">
        <v>-15527746.24</v>
      </c>
      <c r="AB190" s="48">
        <v>-17916630.27</v>
      </c>
      <c r="AC190" s="48">
        <v>-21174199.41</v>
      </c>
      <c r="AD190" s="48">
        <v>-25879577.059999999</v>
      </c>
      <c r="AE190" s="48">
        <v>-33273741.93</v>
      </c>
      <c r="AF190" s="48">
        <v>-46583238.710000001</v>
      </c>
      <c r="AG190" s="48">
        <v>-77638731.180000007</v>
      </c>
    </row>
    <row r="191" spans="1:53">
      <c r="A191" t="s">
        <v>502</v>
      </c>
      <c r="B191" t="s">
        <v>297</v>
      </c>
      <c r="E191" s="48">
        <v>13110863.27</v>
      </c>
      <c r="F191" s="48">
        <v>12236805.720000001</v>
      </c>
      <c r="G191" s="48">
        <v>11421018.67</v>
      </c>
      <c r="H191" s="48">
        <v>10659617.43</v>
      </c>
      <c r="I191" s="48">
        <v>9948976.2699999996</v>
      </c>
      <c r="J191" s="48">
        <v>9285711.1799999997</v>
      </c>
      <c r="K191" s="48">
        <v>8666663.7699999996</v>
      </c>
      <c r="L191" s="48">
        <v>8088886.1900000004</v>
      </c>
      <c r="M191" s="48">
        <v>7549627.1100000003</v>
      </c>
      <c r="N191" s="48">
        <v>7046318.6299999999</v>
      </c>
      <c r="O191" s="48">
        <v>6576564.0599999996</v>
      </c>
      <c r="P191" s="48">
        <v>6138126.4500000002</v>
      </c>
      <c r="Q191" s="48">
        <v>5728918.0199999996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53">
      <c r="A192" t="s">
        <v>506</v>
      </c>
      <c r="B192" t="s">
        <v>297</v>
      </c>
      <c r="C192" s="48">
        <v>203444430.09</v>
      </c>
      <c r="E192" s="48">
        <v>-13110863.27</v>
      </c>
      <c r="F192" s="48">
        <v>-25347668.989999998</v>
      </c>
      <c r="G192" s="48">
        <v>-36768687.670000002</v>
      </c>
      <c r="H192" s="48">
        <v>-47428305.090000004</v>
      </c>
      <c r="I192" s="48">
        <v>-57377281.359999999</v>
      </c>
      <c r="J192" s="48">
        <v>-66662992.539999999</v>
      </c>
      <c r="K192" s="48">
        <v>-75329656.310000002</v>
      </c>
      <c r="L192" s="48">
        <v>-83418542.5</v>
      </c>
      <c r="M192" s="48">
        <v>-90968169.599999994</v>
      </c>
      <c r="N192" s="48">
        <v>-98014488.239999995</v>
      </c>
      <c r="O192" s="48">
        <v>-104591052.29000001</v>
      </c>
      <c r="P192" s="48">
        <v>-110729178.75</v>
      </c>
      <c r="Q192" s="48">
        <v>-116458096.77</v>
      </c>
      <c r="R192" s="48">
        <v>-116458096.77</v>
      </c>
      <c r="S192" s="48">
        <v>-116458096.77</v>
      </c>
      <c r="T192" s="48">
        <v>-116458096.77</v>
      </c>
      <c r="U192" s="48">
        <v>-116458096.77</v>
      </c>
      <c r="V192" s="48">
        <v>-116458096.77</v>
      </c>
      <c r="W192" s="48">
        <v>-116458096.77</v>
      </c>
      <c r="X192" s="48">
        <v>-116458096.77</v>
      </c>
      <c r="Y192" s="48">
        <v>-116458096.77</v>
      </c>
      <c r="Z192" s="48">
        <v>-116458096.77</v>
      </c>
      <c r="AA192" s="48">
        <v>-116458096.77</v>
      </c>
      <c r="AB192" s="48">
        <v>-116458096.77</v>
      </c>
      <c r="AC192" s="48">
        <v>-116458096.77</v>
      </c>
      <c r="AD192" s="48">
        <v>-116458096.77</v>
      </c>
      <c r="AE192" s="48">
        <v>-116458096.77</v>
      </c>
      <c r="AF192" s="48">
        <v>-116458096.77</v>
      </c>
      <c r="AG192" s="48">
        <v>-116458096.77</v>
      </c>
    </row>
    <row r="193" spans="1:33">
      <c r="A193" t="s">
        <v>497</v>
      </c>
      <c r="B193" t="s">
        <v>297</v>
      </c>
      <c r="E193" s="48">
        <v>13110863.27</v>
      </c>
      <c r="F193" s="48">
        <v>12236805.720000001</v>
      </c>
      <c r="G193" s="48">
        <v>11421018.67</v>
      </c>
      <c r="H193" s="48">
        <v>10659617.43</v>
      </c>
      <c r="I193" s="48">
        <v>9948976.2699999996</v>
      </c>
      <c r="J193" s="48">
        <v>9285711.1799999997</v>
      </c>
      <c r="K193" s="48">
        <v>8666663.7699999996</v>
      </c>
      <c r="L193" s="48">
        <v>8088886.1900000004</v>
      </c>
      <c r="M193" s="48">
        <v>7549627.1100000003</v>
      </c>
      <c r="N193" s="48">
        <v>7046318.6299999999</v>
      </c>
      <c r="O193" s="48">
        <v>6576564.0599999996</v>
      </c>
      <c r="P193" s="48">
        <v>6138126.4500000002</v>
      </c>
      <c r="Q193" s="48">
        <v>5728918.0199999996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D194" s="48">
        <v>116458096.77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E963C4F5EFA3E428D248C8C128A77AC" ma:contentTypeVersion="14" ma:contentTypeDescription="새 문서를 만듭니다." ma:contentTypeScope="" ma:versionID="227a3640939f7ad6765989aa269d4205">
  <xsd:schema xmlns:xsd="http://www.w3.org/2001/XMLSchema" xmlns:xs="http://www.w3.org/2001/XMLSchema" xmlns:p="http://schemas.microsoft.com/office/2006/metadata/properties" xmlns:ns3="57af6cd7-9428-4c2d-af47-e0240e733707" xmlns:ns4="c18e646d-222e-439a-a448-e3e7e2273acb" targetNamespace="http://schemas.microsoft.com/office/2006/metadata/properties" ma:root="true" ma:fieldsID="917dc02c45bd90d809d07e0c2c7737e3" ns3:_="" ns4:_="">
    <xsd:import namespace="57af6cd7-9428-4c2d-af47-e0240e733707"/>
    <xsd:import namespace="c18e646d-222e-439a-a448-e3e7e2273a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f6cd7-9428-4c2d-af47-e0240e7337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8e646d-222e-439a-a448-e3e7e2273ac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0C752E-51EC-4230-B372-1CC5B2D25D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f6cd7-9428-4c2d-af47-e0240e733707"/>
    <ds:schemaRef ds:uri="c18e646d-222e-439a-a448-e3e7e2273a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52AFB8-C7A3-400D-A80D-772C6C7F8339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c18e646d-222e-439a-a448-e3e7e2273acb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57af6cd7-9428-4c2d-af47-e0240e73370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43FBFAB-514D-4F93-9A39-DBCC2FF0D7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19</vt:i4>
      </vt:variant>
      <vt:variant>
        <vt:lpstr>이름 지정된 범위</vt:lpstr>
      </vt:variant>
      <vt:variant>
        <vt:i4>2</vt:i4>
      </vt:variant>
    </vt:vector>
  </HeadingPairs>
  <TitlesOfParts>
    <vt:vector size="21" baseType="lpstr">
      <vt:lpstr>1. DB_Experiment_VER1</vt:lpstr>
      <vt:lpstr>2. Aspen_stream info</vt:lpstr>
      <vt:lpstr>2-1. Aspen Utility</vt:lpstr>
      <vt:lpstr>5. HEN_equip</vt:lpstr>
      <vt:lpstr>3. UPC &amp; MSP (fixed)</vt:lpstr>
      <vt:lpstr>Previous_Technical performance</vt:lpstr>
      <vt:lpstr>2-2. Equipment cost</vt:lpstr>
      <vt:lpstr>3. CEF &amp; EEF</vt:lpstr>
      <vt:lpstr>4-1. UPC &amp; NCE(Grid)</vt:lpstr>
      <vt:lpstr>4-2. UPC &amp; NCE(RE)</vt:lpstr>
      <vt:lpstr>5. Sensitivity analysis</vt:lpstr>
      <vt:lpstr>5. Sensitivity</vt:lpstr>
      <vt:lpstr>5. HEN_Worksheet_Case4</vt:lpstr>
      <vt:lpstr>Previous_Economic Analysis</vt:lpstr>
      <vt:lpstr>Previous_Equipment cost</vt:lpstr>
      <vt:lpstr>DB_Aspen simulation_previous</vt:lpstr>
      <vt:lpstr>DB_APEA_EXECUTIVE SUMMARY</vt:lpstr>
      <vt:lpstr>DB_APEA_PROJSUM.ICS</vt:lpstr>
      <vt:lpstr>DB_APEA_CASHFLOW.ICS</vt:lpstr>
      <vt:lpstr>'3. UPC &amp; MSP (fixed)'!Print_Area</vt:lpstr>
      <vt:lpstr>'4-1. UPC &amp; NCE(Grid)'!Print_Area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Tae KIM</dc:creator>
  <cp:lastModifiedBy>우창 정</cp:lastModifiedBy>
  <cp:lastPrinted>2021-08-19T07:50:59Z</cp:lastPrinted>
  <dcterms:created xsi:type="dcterms:W3CDTF">2019-07-10T00:34:21Z</dcterms:created>
  <dcterms:modified xsi:type="dcterms:W3CDTF">2026-01-05T05:53:15Z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0x0101002E963C4F5EFA3E428D248C8C128A77AC</vt:lpwstr>
  </property>
</Properties>
</file>