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hang2\Documents\"/>
    </mc:Choice>
  </mc:AlternateContent>
  <xr:revisionPtr revIDLastSave="0" documentId="13_ncr:1_{CCDA5546-EBC4-400F-A4FC-47FD50A246F6}" xr6:coauthVersionLast="45" xr6:coauthVersionMax="45" xr10:uidLastSave="{00000000-0000-0000-0000-000000000000}"/>
  <bookViews>
    <workbookView xWindow="-108" yWindow="-108" windowWidth="23256" windowHeight="12576" firstSheet="2" activeTab="2" xr2:uid="{2AE2810D-7162-4FAA-B4D1-4A169B16D4B0}"/>
  </bookViews>
  <sheets>
    <sheet name="STM_existing_old" sheetId="1" state="hidden" r:id="rId1"/>
    <sheet name="STM_existing_sseb_crit_old" sheetId="2" state="hidden" r:id="rId2"/>
    <sheet name="JuMP Model Resul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5" l="1"/>
  <c r="D7" i="5"/>
  <c r="D21" i="5" s="1"/>
  <c r="C8" i="5"/>
  <c r="D8" i="5"/>
  <c r="C10" i="5"/>
  <c r="D10" i="5"/>
  <c r="C12" i="5"/>
  <c r="C19" i="5" s="1"/>
  <c r="D12" i="5"/>
  <c r="D19" i="5" s="1"/>
  <c r="D13" i="5"/>
  <c r="C15" i="5"/>
  <c r="D15" i="5"/>
  <c r="C16" i="5"/>
  <c r="D16" i="5"/>
  <c r="C17" i="5"/>
  <c r="D17" i="5"/>
  <c r="D18" i="5"/>
  <c r="D20" i="5"/>
  <c r="D37" i="5"/>
  <c r="D40" i="5"/>
  <c r="D32" i="5"/>
  <c r="D34" i="5"/>
  <c r="D41" i="5" s="1"/>
  <c r="D30" i="5"/>
  <c r="D29" i="5"/>
  <c r="D35" i="5"/>
  <c r="D38" i="5"/>
  <c r="D39" i="5"/>
  <c r="D26" i="5"/>
  <c r="D42" i="5"/>
  <c r="C41" i="5"/>
  <c r="C39" i="5"/>
  <c r="C38" i="5"/>
  <c r="C37" i="5"/>
  <c r="C36" i="5"/>
  <c r="C34" i="5"/>
  <c r="C32" i="5"/>
  <c r="C30" i="5"/>
  <c r="C29" i="5"/>
  <c r="C27" i="5"/>
  <c r="C42" i="5" s="1"/>
  <c r="C26" i="5"/>
  <c r="C21" i="5" l="1"/>
  <c r="D43" i="5"/>
  <c r="C43" i="5"/>
  <c r="D56" i="5"/>
  <c r="D49" i="5"/>
  <c r="D63" i="5"/>
  <c r="D50" i="5"/>
  <c r="D51" i="5"/>
  <c r="D55" i="5"/>
  <c r="D48" i="5"/>
  <c r="D53" i="5"/>
  <c r="C57" i="5"/>
  <c r="C55" i="5"/>
  <c r="C53" i="5"/>
  <c r="C51" i="5"/>
  <c r="C50" i="5"/>
  <c r="C64" i="5" s="1"/>
  <c r="C49" i="5"/>
  <c r="C63" i="5" s="1"/>
  <c r="C48" i="5"/>
  <c r="D62" i="5"/>
  <c r="C62" i="5"/>
  <c r="D60" i="5"/>
  <c r="C60" i="5"/>
  <c r="D59" i="5"/>
  <c r="C59" i="5"/>
  <c r="D61" i="5"/>
  <c r="D58" i="5"/>
  <c r="C58" i="5"/>
  <c r="D4" i="5"/>
  <c r="C5" i="5"/>
  <c r="C20" i="5" s="1"/>
  <c r="C4" i="5"/>
  <c r="D64" i="5" l="1"/>
  <c r="H38" i="1"/>
  <c r="H41" i="1"/>
  <c r="H35" i="1"/>
  <c r="H36" i="1"/>
  <c r="H42" i="1"/>
  <c r="H34" i="1"/>
  <c r="H33" i="1"/>
  <c r="G43" i="1"/>
  <c r="G38" i="1"/>
  <c r="G41" i="1"/>
  <c r="G36" i="1"/>
  <c r="G34" i="1"/>
  <c r="G42" i="1"/>
  <c r="G40" i="1"/>
  <c r="G39" i="1"/>
  <c r="G33" i="1"/>
  <c r="C43" i="1"/>
  <c r="C38" i="1"/>
  <c r="C41" i="1"/>
  <c r="C36" i="1"/>
  <c r="C40" i="1"/>
  <c r="C39" i="1"/>
  <c r="C33" i="1"/>
  <c r="B43" i="1"/>
  <c r="B41" i="1"/>
  <c r="B40" i="1"/>
  <c r="B39" i="1"/>
  <c r="B38" i="1"/>
  <c r="B36" i="1"/>
  <c r="B33" i="1"/>
  <c r="D38" i="1"/>
  <c r="D43" i="1"/>
  <c r="D41" i="1"/>
  <c r="D35" i="1"/>
  <c r="D36" i="1"/>
  <c r="D34" i="1"/>
  <c r="D33" i="1"/>
  <c r="E33" i="1"/>
  <c r="F33" i="1"/>
  <c r="E34" i="1"/>
  <c r="E35" i="1"/>
  <c r="F35" i="1"/>
  <c r="E36" i="1"/>
  <c r="F36" i="1"/>
  <c r="E38" i="1"/>
  <c r="F38" i="1"/>
  <c r="D39" i="1"/>
  <c r="E39" i="1"/>
  <c r="F39" i="1"/>
  <c r="D40" i="1"/>
  <c r="E40" i="1"/>
  <c r="F40" i="1"/>
  <c r="E41" i="1"/>
  <c r="F41" i="1"/>
  <c r="D42" i="1"/>
  <c r="E42" i="1"/>
  <c r="F42" i="1"/>
  <c r="E43" i="1"/>
  <c r="F43" i="1"/>
  <c r="D52" i="1" l="1"/>
  <c r="D57" i="1"/>
  <c r="D53" i="1"/>
  <c r="D48" i="1"/>
  <c r="D5" i="1"/>
  <c r="D51" i="1"/>
  <c r="D56" i="1"/>
  <c r="E57" i="1"/>
  <c r="E56" i="1"/>
  <c r="E53" i="1"/>
  <c r="E52" i="1"/>
  <c r="E51" i="1"/>
  <c r="E50" i="1"/>
  <c r="E48" i="1"/>
  <c r="C50" i="1"/>
  <c r="C53" i="1"/>
  <c r="C57" i="1"/>
  <c r="C56" i="1"/>
  <c r="C51" i="1"/>
  <c r="C48" i="1"/>
  <c r="B52" i="1"/>
  <c r="B53" i="1"/>
  <c r="B57" i="1"/>
  <c r="B56" i="1"/>
  <c r="B51" i="1"/>
  <c r="B48" i="1"/>
  <c r="E28" i="1"/>
  <c r="E23" i="1"/>
  <c r="E26" i="1"/>
  <c r="E20" i="1"/>
  <c r="E21" i="1"/>
  <c r="E27" i="1"/>
  <c r="E25" i="1"/>
  <c r="E24" i="1"/>
  <c r="E18" i="1"/>
  <c r="D23" i="1"/>
  <c r="D26" i="1"/>
  <c r="D20" i="1"/>
  <c r="D21" i="1"/>
  <c r="D28" i="1"/>
  <c r="D27" i="1"/>
  <c r="D25" i="1"/>
  <c r="D24" i="1"/>
  <c r="D18" i="1"/>
  <c r="C28" i="1"/>
  <c r="C27" i="1"/>
  <c r="C23" i="1"/>
  <c r="C20" i="1"/>
  <c r="C21" i="1"/>
  <c r="C26" i="1"/>
  <c r="C25" i="1"/>
  <c r="C24" i="1"/>
  <c r="C18" i="1"/>
  <c r="B21" i="1"/>
  <c r="B20" i="1"/>
  <c r="B26" i="1"/>
  <c r="B28" i="1"/>
  <c r="B19" i="1"/>
  <c r="B27" i="1"/>
  <c r="B23" i="1"/>
  <c r="B25" i="1"/>
  <c r="B24" i="1"/>
  <c r="B18" i="1"/>
  <c r="B23" i="2"/>
  <c r="B26" i="2"/>
  <c r="B25" i="2"/>
  <c r="B24" i="2"/>
  <c r="B18" i="2"/>
  <c r="B38" i="2"/>
  <c r="B42" i="2"/>
  <c r="B41" i="2"/>
  <c r="B36" i="2"/>
  <c r="B33" i="2"/>
  <c r="C34" i="2"/>
  <c r="C38" i="2"/>
  <c r="C43" i="2"/>
  <c r="C35" i="2"/>
  <c r="C40" i="2"/>
  <c r="C39" i="2"/>
  <c r="C41" i="2"/>
  <c r="C36" i="2"/>
  <c r="C33" i="2"/>
  <c r="C23" i="2"/>
  <c r="C26" i="2"/>
  <c r="C20" i="2"/>
  <c r="C25" i="2"/>
  <c r="C24" i="2"/>
  <c r="C21" i="2"/>
  <c r="C18" i="2"/>
  <c r="D43" i="2"/>
  <c r="D38" i="2"/>
  <c r="D35" i="2"/>
  <c r="D40" i="2"/>
  <c r="D39" i="2"/>
  <c r="D41" i="2"/>
  <c r="D36" i="2"/>
  <c r="D33" i="2"/>
  <c r="E28" i="2"/>
  <c r="E23" i="2"/>
  <c r="E26" i="2"/>
  <c r="E20" i="2"/>
  <c r="E21" i="2"/>
  <c r="E25" i="2"/>
  <c r="E19" i="2"/>
  <c r="E24" i="2"/>
  <c r="E18" i="2"/>
  <c r="E42" i="2"/>
  <c r="E35" i="2"/>
  <c r="E38" i="2"/>
  <c r="E34" i="2"/>
  <c r="E41" i="2"/>
  <c r="E36" i="2"/>
  <c r="E33" i="2"/>
  <c r="D25" i="2" l="1"/>
  <c r="D23" i="2"/>
  <c r="D26" i="2"/>
  <c r="D20" i="2"/>
  <c r="D21" i="2"/>
  <c r="D28" i="2"/>
  <c r="D24" i="2"/>
  <c r="D18" i="2"/>
  <c r="E8" i="2" l="1"/>
  <c r="E5" i="2"/>
  <c r="E12" i="2"/>
  <c r="E11" i="2"/>
  <c r="E3" i="2"/>
  <c r="D8" i="2"/>
  <c r="D5" i="2"/>
  <c r="D12" i="2"/>
  <c r="D11" i="2"/>
  <c r="D6" i="2"/>
  <c r="D3" i="2"/>
  <c r="C8" i="2"/>
  <c r="C5" i="2"/>
  <c r="C12" i="2"/>
  <c r="C11" i="2"/>
  <c r="C3" i="2"/>
  <c r="B8" i="2"/>
  <c r="B12" i="2"/>
  <c r="B11" i="2"/>
  <c r="B6" i="2"/>
  <c r="B3" i="2"/>
  <c r="E8" i="1"/>
  <c r="D8" i="1"/>
  <c r="C8" i="1"/>
  <c r="B8" i="1" l="1"/>
  <c r="B11" i="1"/>
  <c r="B12" i="1"/>
  <c r="B7" i="1"/>
  <c r="B3" i="1"/>
  <c r="E12" i="1" l="1"/>
  <c r="E11" i="1"/>
  <c r="D12" i="1"/>
  <c r="D4" i="1"/>
  <c r="D7" i="1"/>
  <c r="D11" i="1"/>
  <c r="D3" i="1"/>
  <c r="C12" i="1"/>
  <c r="C7" i="1"/>
  <c r="C11" i="1"/>
</calcChain>
</file>

<file path=xl/sharedStrings.xml><?xml version="1.0" encoding="utf-8"?>
<sst xmlns="http://schemas.openxmlformats.org/spreadsheetml/2006/main" count="525" uniqueCount="61">
  <si>
    <t>STM Baseline</t>
  </si>
  <si>
    <t>1 Hr</t>
  </si>
  <si>
    <t>3 Hr</t>
  </si>
  <si>
    <t>10 Hr</t>
  </si>
  <si>
    <t>24 Hr</t>
  </si>
  <si>
    <t>NPV</t>
  </si>
  <si>
    <t>PV Rated Capacity [kW]</t>
  </si>
  <si>
    <t>Battery Storage Capacity [kWh]</t>
  </si>
  <si>
    <t>Battery Rated Power [kW]</t>
  </si>
  <si>
    <t>Generator Rated Power [kW]</t>
  </si>
  <si>
    <t>Initial Capital Cost</t>
  </si>
  <si>
    <t>Net Capital Cost (plus O&amp;M)</t>
  </si>
  <si>
    <t>Energy Savings (Year One)</t>
  </si>
  <si>
    <t>Demand Savings (Year One)</t>
  </si>
  <si>
    <t>STM WITH EXISTING PV</t>
  </si>
  <si>
    <t>STM EXISTING PV</t>
  </si>
  <si>
    <t># Outage Start Timesteps</t>
  </si>
  <si>
    <t>LCC</t>
  </si>
  <si>
    <t>2 HOUR OUTAGE DURATION</t>
  </si>
  <si>
    <t>INPUT ASSUMPTIONS</t>
  </si>
  <si>
    <t>VoLL</t>
  </si>
  <si>
    <t>Microgrid_Premium_Pct</t>
  </si>
  <si>
    <t>Gen_min_turndown_pct</t>
  </si>
  <si>
    <t>Generator allowed?</t>
  </si>
  <si>
    <t>Generator_existing_kw</t>
  </si>
  <si>
    <t>Default (0.30)</t>
  </si>
  <si>
    <t>YES</t>
  </si>
  <si>
    <t>NO</t>
  </si>
  <si>
    <t>n/a</t>
  </si>
  <si>
    <t>Expected Outage Cost</t>
  </si>
  <si>
    <t>Max Outage Cost</t>
  </si>
  <si>
    <t>Year One Bill (Total Utility Cost)</t>
  </si>
  <si>
    <t>STM EXISTING PV SSEB CRIT</t>
  </si>
  <si>
    <t>Optimally Sized Gen</t>
  </si>
  <si>
    <t>100% Renewable</t>
  </si>
  <si>
    <t>Existing Generator</t>
  </si>
  <si>
    <t>MicroGrid Upgrade Costs</t>
  </si>
  <si>
    <t>Total Unserved Load</t>
  </si>
  <si>
    <t>STM EXISTING PV 100% RENEWABLE</t>
  </si>
  <si>
    <t>2 HOUR OUTAGE DURATION - 8760</t>
  </si>
  <si>
    <t>2-WEEK OUTAGE DURATION</t>
  </si>
  <si>
    <t>Outage_start_timesteps</t>
  </si>
  <si>
    <t>Critical Load</t>
  </si>
  <si>
    <t>100% SSEB Gross Load</t>
  </si>
  <si>
    <t>50% STM Net Load</t>
  </si>
  <si>
    <t>Demand Savings</t>
  </si>
  <si>
    <t>Energy Savings</t>
  </si>
  <si>
    <t>Outage Savings</t>
  </si>
  <si>
    <t>Utility Bill Savings</t>
  </si>
  <si>
    <t>PV Upfront Cost</t>
  </si>
  <si>
    <t>Storage Upfront Cost</t>
  </si>
  <si>
    <t>Unserved Load Remaining [kWh]</t>
  </si>
  <si>
    <t>VoLL ($/kWh)</t>
  </si>
  <si>
    <t>0 (Grid-Optimal)</t>
  </si>
  <si>
    <t>40 (Cost-Robust)</t>
  </si>
  <si>
    <t>60 (Cost-Robust)</t>
  </si>
  <si>
    <t>MG PV constrained?</t>
  </si>
  <si>
    <t>Yes (16.1 kW)</t>
  </si>
  <si>
    <t>No (MG PV = 45.06 kW)</t>
  </si>
  <si>
    <t>10 (Cost-Robust)</t>
  </si>
  <si>
    <t>Microgrid PV Rated Capacity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</si>
</sst>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/>
    <xf numFmtId="44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3" xfId="0" applyFont="1" applyBorder="1"/>
    <xf numFmtId="0" fontId="1" fillId="0" borderId="4" xfId="0" applyFont="1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0" fillId="0" borderId="1" xfId="0" applyNumberFormat="1" applyBorder="1"/>
    <xf numFmtId="43" fontId="0" fillId="0" borderId="0" xfId="1" applyFont="1"/>
    <xf numFmtId="0" fontId="0" fillId="0" borderId="0" xfId="0" applyFill="1" applyBorder="1"/>
    <xf numFmtId="0" fontId="0" fillId="0" borderId="0" xfId="0" applyNumberFormat="1" applyBorder="1"/>
    <xf numFmtId="43" fontId="0" fillId="0" borderId="1" xfId="1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Font="1" applyBorder="1"/>
    <xf numFmtId="4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Font="1" applyFill="1" applyBorder="1"/>
    <xf numFmtId="0" fontId="1" fillId="0" borderId="0" xfId="0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Fill="1" applyBorder="1"/>
    <xf numFmtId="44" fontId="0" fillId="0" borderId="15" xfId="0" applyNumberFormat="1" applyBorder="1"/>
    <xf numFmtId="44" fontId="0" fillId="0" borderId="1" xfId="0" applyNumberFormat="1" applyFill="1" applyBorder="1"/>
    <xf numFmtId="2" fontId="0" fillId="0" borderId="1" xfId="1" applyNumberFormat="1" applyFont="1" applyBorder="1"/>
    <xf numFmtId="1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C795-7F00-4B86-8770-C43D8FB3384F}">
  <dimension ref="A1:O133"/>
  <sheetViews>
    <sheetView zoomScaleNormal="100" workbookViewId="0">
      <selection activeCell="D22" sqref="D22"/>
    </sheetView>
  </sheetViews>
  <sheetFormatPr defaultRowHeight="14.4" x14ac:dyDescent="0.3"/>
  <cols>
    <col min="1" max="1" width="34.5546875" customWidth="1"/>
    <col min="2" max="2" width="18.21875" customWidth="1"/>
    <col min="3" max="3" width="18.44140625" customWidth="1"/>
    <col min="4" max="4" width="17.21875" customWidth="1"/>
    <col min="5" max="5" width="17.88671875" customWidth="1"/>
    <col min="6" max="6" width="18.21875" customWidth="1"/>
    <col min="7" max="7" width="21.21875" customWidth="1"/>
    <col min="8" max="8" width="21.77734375" customWidth="1"/>
    <col min="9" max="9" width="11" customWidth="1"/>
    <col min="10" max="10" width="30.33203125" customWidth="1"/>
    <col min="11" max="11" width="17.6640625" customWidth="1"/>
    <col min="12" max="12" width="15.21875" customWidth="1"/>
    <col min="13" max="13" width="15.88671875" customWidth="1"/>
    <col min="14" max="14" width="15.6640625" customWidth="1"/>
    <col min="15" max="15" width="17.88671875" customWidth="1"/>
  </cols>
  <sheetData>
    <row r="1" spans="1:15" x14ac:dyDescent="0.3">
      <c r="A1" s="13" t="s">
        <v>15</v>
      </c>
      <c r="B1" s="41" t="s">
        <v>16</v>
      </c>
      <c r="C1" s="41"/>
      <c r="D1" s="41"/>
      <c r="E1" s="42"/>
      <c r="G1" s="2" t="s">
        <v>19</v>
      </c>
      <c r="H1" s="5" t="s">
        <v>33</v>
      </c>
      <c r="J1" s="1" t="s">
        <v>14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</row>
    <row r="2" spans="1:15" ht="15" thickBot="1" x14ac:dyDescent="0.35">
      <c r="A2" s="14" t="s">
        <v>18</v>
      </c>
      <c r="B2" s="15">
        <v>12</v>
      </c>
      <c r="C2" s="15">
        <v>52</v>
      </c>
      <c r="D2" s="15">
        <v>365</v>
      </c>
      <c r="E2" s="16">
        <v>8760</v>
      </c>
      <c r="G2" s="2" t="s">
        <v>20</v>
      </c>
      <c r="H2" s="5">
        <v>100</v>
      </c>
      <c r="J2" s="2" t="s">
        <v>5</v>
      </c>
      <c r="K2" s="3">
        <v>406512</v>
      </c>
      <c r="L2" s="3">
        <v>-1951517</v>
      </c>
      <c r="M2" s="3">
        <v>-2618918</v>
      </c>
      <c r="N2" s="3">
        <v>-11295829</v>
      </c>
      <c r="O2" s="3">
        <v>-29634101</v>
      </c>
    </row>
    <row r="3" spans="1:15" x14ac:dyDescent="0.3">
      <c r="A3" s="12" t="s">
        <v>17</v>
      </c>
      <c r="B3" s="19">
        <f>60450030</f>
        <v>60450030</v>
      </c>
      <c r="C3" s="19">
        <v>60085900</v>
      </c>
      <c r="D3" s="19">
        <f>60124300</f>
        <v>60124300</v>
      </c>
      <c r="E3" s="19">
        <v>60827400</v>
      </c>
      <c r="G3" s="2" t="s">
        <v>21</v>
      </c>
      <c r="H3" s="5" t="s">
        <v>25</v>
      </c>
      <c r="J3" s="2" t="s">
        <v>6</v>
      </c>
      <c r="K3" s="2">
        <v>3830.7049000000002</v>
      </c>
      <c r="L3" s="2">
        <v>3776.5918000000001</v>
      </c>
      <c r="M3" s="2">
        <v>3907.4016999999999</v>
      </c>
      <c r="N3" s="2">
        <v>4289.3379000000004</v>
      </c>
      <c r="O3" s="2">
        <v>7505.7646000000004</v>
      </c>
    </row>
    <row r="4" spans="1:15" x14ac:dyDescent="0.3">
      <c r="A4" s="2" t="s">
        <v>6</v>
      </c>
      <c r="B4" s="20">
        <v>3580.54</v>
      </c>
      <c r="C4" s="20">
        <v>3580.54</v>
      </c>
      <c r="D4" s="20">
        <f>3626.62859189434</f>
        <v>3626.6285918943399</v>
      </c>
      <c r="E4" s="20">
        <v>3746.5718568681</v>
      </c>
      <c r="G4" s="2" t="s">
        <v>22</v>
      </c>
      <c r="H4" s="10">
        <v>0</v>
      </c>
      <c r="I4" s="7"/>
      <c r="J4" s="2" t="s">
        <v>7</v>
      </c>
      <c r="K4" s="2">
        <v>675.67219999999998</v>
      </c>
      <c r="L4" s="2">
        <v>1887.3989999999999</v>
      </c>
      <c r="M4" s="2">
        <v>1879.9992</v>
      </c>
      <c r="N4" s="2">
        <v>17951.7657</v>
      </c>
      <c r="O4" s="2">
        <v>42079.477400000003</v>
      </c>
    </row>
    <row r="5" spans="1:15" x14ac:dyDescent="0.3">
      <c r="A5" s="2" t="s">
        <v>8</v>
      </c>
      <c r="B5" s="20">
        <v>718.77547478125405</v>
      </c>
      <c r="C5" s="20">
        <v>668.78</v>
      </c>
      <c r="D5" s="20">
        <f>484.619</f>
        <v>484.61900000000003</v>
      </c>
      <c r="E5" s="20">
        <v>534.19899999999996</v>
      </c>
      <c r="G5" s="11" t="s">
        <v>23</v>
      </c>
      <c r="H5" s="5" t="s">
        <v>26</v>
      </c>
      <c r="I5" s="7"/>
      <c r="J5" s="2" t="s">
        <v>8</v>
      </c>
      <c r="K5" s="2">
        <v>325.56330000000003</v>
      </c>
      <c r="L5" s="2">
        <v>1013.8258</v>
      </c>
      <c r="M5" s="2">
        <v>622.40959999999995</v>
      </c>
      <c r="N5" s="2">
        <v>1846.7016000000001</v>
      </c>
      <c r="O5" s="2">
        <v>4112.2006000000001</v>
      </c>
    </row>
    <row r="6" spans="1:15" x14ac:dyDescent="0.3">
      <c r="A6" s="2" t="s">
        <v>7</v>
      </c>
      <c r="B6" s="20">
        <v>1200.2802835334201</v>
      </c>
      <c r="C6" s="20">
        <v>1367.52</v>
      </c>
      <c r="D6" s="20">
        <v>1033.7</v>
      </c>
      <c r="E6" s="20">
        <v>1010.61</v>
      </c>
      <c r="G6" s="11" t="s">
        <v>24</v>
      </c>
      <c r="H6" s="10">
        <v>0</v>
      </c>
      <c r="I6" s="7"/>
      <c r="J6" s="2" t="s">
        <v>9</v>
      </c>
      <c r="K6" s="2">
        <v>0</v>
      </c>
      <c r="L6" s="2">
        <v>1135.01</v>
      </c>
      <c r="M6" s="2">
        <v>1804.44</v>
      </c>
      <c r="N6" s="2">
        <v>867.76300000000003</v>
      </c>
      <c r="O6" s="2">
        <v>433.553</v>
      </c>
    </row>
    <row r="7" spans="1:15" x14ac:dyDescent="0.3">
      <c r="A7" s="2" t="s">
        <v>9</v>
      </c>
      <c r="B7" s="20">
        <f>2043.72452521874</f>
        <v>2043.7245252187399</v>
      </c>
      <c r="C7" s="20">
        <f>1882.45</f>
        <v>1882.45</v>
      </c>
      <c r="D7" s="20">
        <f>2036.28</f>
        <v>2036.28</v>
      </c>
      <c r="E7" s="20">
        <v>2387.38</v>
      </c>
      <c r="G7" s="6"/>
      <c r="H7" s="6"/>
      <c r="I7" s="7"/>
      <c r="J7" s="2" t="s">
        <v>10</v>
      </c>
      <c r="K7" s="3">
        <v>957519.34</v>
      </c>
      <c r="L7" s="3">
        <v>2525509.13</v>
      </c>
      <c r="M7" s="3">
        <v>2737622.45</v>
      </c>
      <c r="N7" s="3">
        <v>10658929.08</v>
      </c>
      <c r="O7" s="3">
        <v>27624764.870000001</v>
      </c>
    </row>
    <row r="8" spans="1:15" x14ac:dyDescent="0.3">
      <c r="A8" s="2" t="s">
        <v>11</v>
      </c>
      <c r="B8" s="3">
        <f>6336317</f>
        <v>6336317</v>
      </c>
      <c r="C8" s="3">
        <f>6142657</f>
        <v>6142657</v>
      </c>
      <c r="D8" s="3">
        <f>5966364</f>
        <v>5966364</v>
      </c>
      <c r="E8" s="3">
        <f>6874904</f>
        <v>6874904</v>
      </c>
      <c r="G8" s="6"/>
      <c r="H8" s="6"/>
      <c r="I8" s="7"/>
      <c r="J8" s="2" t="s">
        <v>11</v>
      </c>
      <c r="K8" s="3">
        <v>2915736</v>
      </c>
      <c r="L8" s="3">
        <v>6455919</v>
      </c>
      <c r="M8" s="3">
        <v>7239810</v>
      </c>
      <c r="N8" s="3">
        <v>20856749</v>
      </c>
      <c r="O8" s="3">
        <v>50430082</v>
      </c>
    </row>
    <row r="9" spans="1:15" x14ac:dyDescent="0.3">
      <c r="A9" s="11" t="s">
        <v>29</v>
      </c>
      <c r="B9" s="3">
        <v>0</v>
      </c>
      <c r="C9" s="3">
        <v>0</v>
      </c>
      <c r="D9" s="3">
        <v>0</v>
      </c>
      <c r="E9" s="3">
        <v>0</v>
      </c>
      <c r="G9" s="6"/>
      <c r="H9" s="6"/>
      <c r="I9" s="7"/>
      <c r="J9" s="2" t="s">
        <v>12</v>
      </c>
      <c r="K9" s="3">
        <v>12028</v>
      </c>
      <c r="L9" s="3">
        <v>9175.84</v>
      </c>
      <c r="M9" s="3">
        <v>15508.06</v>
      </c>
      <c r="N9" s="3">
        <v>30487.75</v>
      </c>
      <c r="O9" s="3">
        <v>178221.01</v>
      </c>
    </row>
    <row r="10" spans="1:15" x14ac:dyDescent="0.3">
      <c r="A10" s="11" t="s">
        <v>30</v>
      </c>
      <c r="B10" s="3">
        <v>0</v>
      </c>
      <c r="C10" s="3">
        <v>0</v>
      </c>
      <c r="D10" s="3">
        <v>0</v>
      </c>
      <c r="E10" s="3">
        <v>0</v>
      </c>
      <c r="G10" s="6"/>
      <c r="H10" s="6"/>
      <c r="I10" s="7"/>
      <c r="J10" s="2" t="s">
        <v>13</v>
      </c>
      <c r="K10" s="3">
        <v>78655.81</v>
      </c>
      <c r="L10" s="3">
        <v>133115.09</v>
      </c>
      <c r="M10" s="3">
        <v>131868.25</v>
      </c>
      <c r="N10" s="3">
        <v>332546.38</v>
      </c>
      <c r="O10" s="3">
        <v>675281.67</v>
      </c>
    </row>
    <row r="11" spans="1:15" x14ac:dyDescent="0.3">
      <c r="A11" s="11" t="s">
        <v>31</v>
      </c>
      <c r="B11" s="3">
        <f>2301494.16</f>
        <v>2301494.16</v>
      </c>
      <c r="C11" s="3">
        <f>2296140</f>
        <v>2296140</v>
      </c>
      <c r="D11" s="3">
        <f>2309850</f>
        <v>2309850</v>
      </c>
      <c r="E11" s="3">
        <f>2294150</f>
        <v>2294150</v>
      </c>
      <c r="G11" s="6"/>
      <c r="H11" s="6"/>
      <c r="I11" s="7"/>
      <c r="J11" s="6"/>
      <c r="K11" s="7"/>
      <c r="L11" s="7"/>
      <c r="M11" s="7"/>
      <c r="N11" s="7"/>
      <c r="O11" s="7"/>
    </row>
    <row r="12" spans="1:15" x14ac:dyDescent="0.3">
      <c r="A12" s="11" t="s">
        <v>36</v>
      </c>
      <c r="B12" s="3">
        <f>1395007.01237121</f>
        <v>1395007.0123712099</v>
      </c>
      <c r="C12" s="3">
        <f>1347437.64399266</f>
        <v>1347437.6439926601</v>
      </c>
      <c r="D12" s="3">
        <f>1247781.93076697</f>
        <v>1247781.9307669699</v>
      </c>
      <c r="E12" s="3">
        <f>1401820.24495707</f>
        <v>1401820.2449570701</v>
      </c>
      <c r="G12" s="6"/>
      <c r="H12" s="6"/>
      <c r="I12" s="7"/>
      <c r="J12" s="6"/>
      <c r="K12" s="7"/>
      <c r="L12" s="7"/>
      <c r="M12" s="7"/>
      <c r="N12" s="7"/>
      <c r="O12" s="7"/>
    </row>
    <row r="13" spans="1:15" x14ac:dyDescent="0.3">
      <c r="A13" s="11" t="s">
        <v>37</v>
      </c>
      <c r="B13" s="20">
        <v>0</v>
      </c>
      <c r="C13" s="20">
        <v>0</v>
      </c>
      <c r="D13" s="20">
        <v>0</v>
      </c>
      <c r="E13" s="20">
        <v>0</v>
      </c>
      <c r="G13" s="6"/>
      <c r="H13" s="6"/>
      <c r="I13" s="7"/>
      <c r="J13" s="6"/>
      <c r="K13" s="7"/>
      <c r="L13" s="7"/>
      <c r="M13" s="7"/>
      <c r="N13" s="7"/>
      <c r="O13" s="7"/>
    </row>
    <row r="14" spans="1:15" x14ac:dyDescent="0.3">
      <c r="B14" s="21"/>
      <c r="C14" s="4"/>
      <c r="D14" s="4"/>
      <c r="E14" s="4"/>
      <c r="G14" s="6"/>
      <c r="H14" s="6"/>
      <c r="I14" s="7"/>
      <c r="J14" s="6"/>
      <c r="K14" s="7"/>
      <c r="L14" s="7"/>
      <c r="M14" s="7"/>
      <c r="N14" s="7"/>
      <c r="O14" s="7"/>
    </row>
    <row r="15" spans="1:15" ht="15" thickBot="1" x14ac:dyDescent="0.35">
      <c r="A15" s="8"/>
      <c r="B15" s="9"/>
      <c r="C15" s="9"/>
      <c r="D15" s="9"/>
      <c r="E15" s="9"/>
      <c r="G15" s="6"/>
      <c r="H15" s="6"/>
      <c r="I15" s="7"/>
      <c r="J15" s="6"/>
      <c r="K15" s="7"/>
      <c r="L15" s="7"/>
      <c r="M15" s="7"/>
      <c r="N15" s="7"/>
      <c r="O15" s="7"/>
    </row>
    <row r="16" spans="1:15" x14ac:dyDescent="0.3">
      <c r="A16" s="13" t="s">
        <v>15</v>
      </c>
      <c r="B16" s="41" t="s">
        <v>16</v>
      </c>
      <c r="C16" s="41"/>
      <c r="D16" s="41"/>
      <c r="E16" s="42"/>
      <c r="G16" s="2" t="s">
        <v>19</v>
      </c>
      <c r="H16" s="5" t="s">
        <v>34</v>
      </c>
      <c r="I16" s="7"/>
      <c r="J16" s="7"/>
    </row>
    <row r="17" spans="1:10" ht="15" thickBot="1" x14ac:dyDescent="0.35">
      <c r="A17" s="14" t="s">
        <v>18</v>
      </c>
      <c r="B17" s="15">
        <v>12</v>
      </c>
      <c r="C17" s="15">
        <v>52</v>
      </c>
      <c r="D17" s="15">
        <v>365</v>
      </c>
      <c r="E17" s="16">
        <v>8760</v>
      </c>
      <c r="G17" s="2" t="s">
        <v>20</v>
      </c>
      <c r="H17" s="5">
        <v>100</v>
      </c>
      <c r="I17" s="7"/>
      <c r="J17" s="7"/>
    </row>
    <row r="18" spans="1:10" x14ac:dyDescent="0.3">
      <c r="A18" s="12" t="s">
        <v>17</v>
      </c>
      <c r="B18" s="19">
        <f>65334748</f>
        <v>65334748</v>
      </c>
      <c r="C18" s="19">
        <f>65391606</f>
        <v>65391606</v>
      </c>
      <c r="D18" s="19">
        <f>65644687</f>
        <v>65644687</v>
      </c>
      <c r="E18" s="19">
        <f>67009566</f>
        <v>67009566</v>
      </c>
      <c r="G18" s="2" t="s">
        <v>21</v>
      </c>
      <c r="H18" s="5" t="s">
        <v>25</v>
      </c>
      <c r="I18" s="7"/>
      <c r="J18" s="7"/>
    </row>
    <row r="19" spans="1:10" x14ac:dyDescent="0.3">
      <c r="A19" s="2" t="s">
        <v>6</v>
      </c>
      <c r="B19" s="20">
        <f>3727.6945</f>
        <v>3727.6945000000001</v>
      </c>
      <c r="C19" s="20">
        <v>3627.0909999999999</v>
      </c>
      <c r="D19" s="20">
        <v>3580.54</v>
      </c>
      <c r="E19" s="20">
        <v>3580.54</v>
      </c>
      <c r="G19" s="2" t="s">
        <v>22</v>
      </c>
      <c r="H19" s="10">
        <v>0</v>
      </c>
      <c r="I19" s="7"/>
      <c r="J19" s="7"/>
    </row>
    <row r="20" spans="1:10" x14ac:dyDescent="0.3">
      <c r="A20" s="2" t="s">
        <v>8</v>
      </c>
      <c r="B20" s="20">
        <f>652.279166346808</f>
        <v>652.27916634680798</v>
      </c>
      <c r="C20" s="20">
        <f>684.130233873507</f>
        <v>684.130233873507</v>
      </c>
      <c r="D20" s="20">
        <f>582.277319207361</f>
        <v>582.27731920736096</v>
      </c>
      <c r="E20" s="20">
        <f>1120.35432023127</f>
        <v>1120.3543202312701</v>
      </c>
      <c r="G20" s="11" t="s">
        <v>23</v>
      </c>
      <c r="H20" s="5" t="s">
        <v>27</v>
      </c>
      <c r="I20" s="7"/>
      <c r="J20" s="7"/>
    </row>
    <row r="21" spans="1:10" x14ac:dyDescent="0.3">
      <c r="A21" s="2" t="s">
        <v>7</v>
      </c>
      <c r="B21" s="20">
        <f>2569.07910607977</f>
        <v>2569.0791060797701</v>
      </c>
      <c r="C21" s="20">
        <f>2602.54841312941</f>
        <v>2602.5484131294102</v>
      </c>
      <c r="D21" s="20">
        <f>1886.22579969455</f>
        <v>1886.22579969455</v>
      </c>
      <c r="E21" s="20">
        <f>3549.91043508464</f>
        <v>3549.9104350846401</v>
      </c>
      <c r="G21" s="11" t="s">
        <v>24</v>
      </c>
      <c r="H21" s="10" t="s">
        <v>28</v>
      </c>
      <c r="I21" s="7"/>
      <c r="J21" s="7"/>
    </row>
    <row r="22" spans="1:10" x14ac:dyDescent="0.3">
      <c r="A22" s="2" t="s">
        <v>9</v>
      </c>
      <c r="B22" s="20">
        <v>0</v>
      </c>
      <c r="C22" s="20">
        <v>0</v>
      </c>
      <c r="D22" s="20">
        <v>0</v>
      </c>
      <c r="E22" s="20">
        <v>0</v>
      </c>
      <c r="G22" s="6"/>
      <c r="H22" s="6"/>
      <c r="I22" s="7"/>
      <c r="J22" s="7"/>
    </row>
    <row r="23" spans="1:10" x14ac:dyDescent="0.3">
      <c r="A23" s="2" t="s">
        <v>11</v>
      </c>
      <c r="B23" s="3">
        <f>4567997</f>
        <v>4567997</v>
      </c>
      <c r="C23" s="3">
        <f>4373817</f>
        <v>4373817</v>
      </c>
      <c r="D23" s="3">
        <f>3554075</f>
        <v>3554075</v>
      </c>
      <c r="E23" s="3">
        <f>5627940</f>
        <v>5627940</v>
      </c>
      <c r="G23" s="6"/>
      <c r="H23" s="6"/>
      <c r="I23" s="6"/>
      <c r="J23" s="6"/>
    </row>
    <row r="24" spans="1:10" x14ac:dyDescent="0.3">
      <c r="A24" s="11" t="s">
        <v>29</v>
      </c>
      <c r="B24" s="3">
        <f>8213063.34410434</f>
        <v>8213063.3441043403</v>
      </c>
      <c r="C24" s="3">
        <f>8191260.87143173</f>
        <v>8191260.8714317298</v>
      </c>
      <c r="D24" s="3">
        <f>8657885.5368608</f>
        <v>8657885.5368607994</v>
      </c>
      <c r="E24" s="3">
        <f>7887647.00909887</f>
        <v>7887647.0090988697</v>
      </c>
    </row>
    <row r="25" spans="1:10" x14ac:dyDescent="0.3">
      <c r="A25" s="11" t="s">
        <v>30</v>
      </c>
      <c r="B25" s="3">
        <f>8213063.34410434</f>
        <v>8213063.3441043403</v>
      </c>
      <c r="C25" s="3">
        <f>8191260.87143173</f>
        <v>8191260.8714317298</v>
      </c>
      <c r="D25" s="3">
        <f>8657885.5368608</f>
        <v>8657885.5368607994</v>
      </c>
      <c r="E25" s="3">
        <f>7887647.00909887</f>
        <v>7887647.0090988697</v>
      </c>
    </row>
    <row r="26" spans="1:10" x14ac:dyDescent="0.3">
      <c r="A26" s="11" t="s">
        <v>31</v>
      </c>
      <c r="B26" s="3">
        <f>2255954.07</f>
        <v>2255954.0699999998</v>
      </c>
      <c r="C26" s="3">
        <f>2266902.47</f>
        <v>2266902.4700000002</v>
      </c>
      <c r="D26" s="3">
        <f>2302452.56</f>
        <v>2302452.56</v>
      </c>
      <c r="E26" s="3">
        <f>2278035.49</f>
        <v>2278035.4900000002</v>
      </c>
    </row>
    <row r="27" spans="1:10" x14ac:dyDescent="0.3">
      <c r="A27" s="11" t="s">
        <v>36</v>
      </c>
      <c r="B27" s="3">
        <f>879380.64688522</f>
        <v>879380.64688521996</v>
      </c>
      <c r="C27" s="3">
        <f>901474.559723928</f>
        <v>901474.55972392799</v>
      </c>
      <c r="D27" s="3">
        <f>692730.430848498</f>
        <v>692730.43084849801</v>
      </c>
      <c r="E27" s="3">
        <f>1314889.96282294</f>
        <v>1314889.96282294</v>
      </c>
    </row>
    <row r="28" spans="1:10" x14ac:dyDescent="0.3">
      <c r="A28" s="11" t="s">
        <v>37</v>
      </c>
      <c r="B28" s="24">
        <f>42146.6652392086</f>
        <v>42146.665239208603</v>
      </c>
      <c r="C28" s="24">
        <f>189523.205209408</f>
        <v>189523.20520940801</v>
      </c>
      <c r="D28" s="24">
        <f>1375248.49908594</f>
        <v>1375248.49908594</v>
      </c>
      <c r="E28" s="24">
        <f>27256475.7816241</f>
        <v>27256475.781624101</v>
      </c>
    </row>
    <row r="29" spans="1:10" x14ac:dyDescent="0.3">
      <c r="A29" s="6"/>
      <c r="B29" s="7"/>
      <c r="C29" s="7"/>
      <c r="D29" s="7"/>
      <c r="E29" s="7"/>
      <c r="G29" s="6"/>
      <c r="H29" s="6"/>
      <c r="I29" s="7"/>
      <c r="J29" s="6"/>
    </row>
    <row r="30" spans="1:10" ht="15" thickBot="1" x14ac:dyDescent="0.35">
      <c r="G30" s="6"/>
      <c r="H30" s="6"/>
      <c r="I30" s="6"/>
      <c r="J30" s="6"/>
    </row>
    <row r="31" spans="1:10" x14ac:dyDescent="0.3">
      <c r="A31" s="25" t="s">
        <v>38</v>
      </c>
      <c r="B31" s="43" t="s">
        <v>20</v>
      </c>
      <c r="C31" s="44"/>
      <c r="D31" s="44"/>
      <c r="E31" s="44"/>
      <c r="F31" s="44"/>
      <c r="G31" s="44"/>
      <c r="H31" s="45"/>
    </row>
    <row r="32" spans="1:10" ht="15" thickBot="1" x14ac:dyDescent="0.35">
      <c r="A32" s="26" t="s">
        <v>39</v>
      </c>
      <c r="B32" s="27">
        <v>10</v>
      </c>
      <c r="C32" s="28">
        <v>29</v>
      </c>
      <c r="D32" s="27">
        <v>40</v>
      </c>
      <c r="E32" s="15">
        <v>70</v>
      </c>
      <c r="F32" s="15">
        <v>100</v>
      </c>
      <c r="G32" s="16">
        <v>180</v>
      </c>
      <c r="H32" s="29">
        <v>213</v>
      </c>
    </row>
    <row r="33" spans="1:10" x14ac:dyDescent="0.3">
      <c r="A33" s="12" t="s">
        <v>17</v>
      </c>
      <c r="B33" s="19">
        <f>57041811</f>
        <v>57041811</v>
      </c>
      <c r="C33" s="19">
        <f>59515685</f>
        <v>59515685</v>
      </c>
      <c r="D33" s="19">
        <f>60787540</f>
        <v>60787540</v>
      </c>
      <c r="E33" s="19">
        <f>64078190</f>
        <v>64078190</v>
      </c>
      <c r="F33" s="19">
        <f>67009566</f>
        <v>67009566</v>
      </c>
      <c r="G33" s="19">
        <f>71370501</f>
        <v>71370501</v>
      </c>
      <c r="H33" s="19">
        <f>71489323</f>
        <v>71489323</v>
      </c>
    </row>
    <row r="34" spans="1:10" x14ac:dyDescent="0.3">
      <c r="A34" s="2" t="s">
        <v>6</v>
      </c>
      <c r="B34" s="20">
        <v>3832.8957</v>
      </c>
      <c r="C34" s="20">
        <v>3832.8957</v>
      </c>
      <c r="D34" s="20">
        <f>3848.9787</f>
        <v>3848.9787000000001</v>
      </c>
      <c r="E34" s="20">
        <f>3640.8564</f>
        <v>3640.8564000000001</v>
      </c>
      <c r="F34" s="20">
        <v>3580.54</v>
      </c>
      <c r="G34" s="20">
        <f>3785.4099</f>
        <v>3785.4099000000001</v>
      </c>
      <c r="H34" s="20">
        <f>3798.7031</f>
        <v>3798.7031000000002</v>
      </c>
    </row>
    <row r="35" spans="1:10" x14ac:dyDescent="0.3">
      <c r="A35" s="2" t="s">
        <v>8</v>
      </c>
      <c r="B35" s="20">
        <v>338.93112190067001</v>
      </c>
      <c r="C35" s="20">
        <v>338.93112190067097</v>
      </c>
      <c r="D35" s="20">
        <f>345.3439095837</f>
        <v>345.3439095837</v>
      </c>
      <c r="E35" s="20">
        <f>550.86100493438</f>
        <v>550.86100493438005</v>
      </c>
      <c r="F35" s="20">
        <f>1120.35432023127</f>
        <v>1120.3543202312701</v>
      </c>
      <c r="G35" s="20">
        <v>2762.5</v>
      </c>
      <c r="H35" s="20">
        <f>2921.575</f>
        <v>2921.5749999999998</v>
      </c>
    </row>
    <row r="36" spans="1:10" x14ac:dyDescent="0.3">
      <c r="A36" s="2" t="s">
        <v>7</v>
      </c>
      <c r="B36" s="20">
        <f>732.073522943573</f>
        <v>732.07352294357304</v>
      </c>
      <c r="C36" s="20">
        <f>732.073522943585</f>
        <v>732.07352294358498</v>
      </c>
      <c r="D36" s="20">
        <f>903.991194361597</f>
        <v>903.99119436159697</v>
      </c>
      <c r="E36" s="20">
        <f>1495.22159957355</f>
        <v>1495.2215995735501</v>
      </c>
      <c r="F36" s="20">
        <f>3549.91043508464</f>
        <v>3549.9104350846401</v>
      </c>
      <c r="G36" s="20">
        <f>15098.9769377801</f>
        <v>15098.9769377801</v>
      </c>
      <c r="H36" s="20">
        <f>15658.3571975677</f>
        <v>15658.3571975677</v>
      </c>
    </row>
    <row r="37" spans="1:10" x14ac:dyDescent="0.3">
      <c r="A37" s="2" t="s">
        <v>9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</row>
    <row r="38" spans="1:10" x14ac:dyDescent="0.3">
      <c r="A38" s="2" t="s">
        <v>11</v>
      </c>
      <c r="B38" s="3">
        <f>2984475</f>
        <v>2984475</v>
      </c>
      <c r="C38" s="3">
        <f>2984475</f>
        <v>2984475</v>
      </c>
      <c r="D38" s="3">
        <f>3166908</f>
        <v>3166908</v>
      </c>
      <c r="E38" s="3">
        <f>3371554</f>
        <v>3371554</v>
      </c>
      <c r="F38" s="3">
        <f>5627940</f>
        <v>5627940</v>
      </c>
      <c r="G38" s="3">
        <f>17391753</f>
        <v>17391753</v>
      </c>
      <c r="H38" s="3">
        <f>18091272</f>
        <v>18091272</v>
      </c>
      <c r="I38" s="6"/>
      <c r="J38" s="6"/>
    </row>
    <row r="39" spans="1:10" x14ac:dyDescent="0.3">
      <c r="A39" s="11" t="s">
        <v>29</v>
      </c>
      <c r="B39" s="3">
        <f>1302039.1236925</f>
        <v>1302039.1236924999</v>
      </c>
      <c r="C39" s="3">
        <f>3775913.45870825</f>
        <v>3775913.45870825</v>
      </c>
      <c r="D39" s="3">
        <f>4580022.99818307</f>
        <v>4580022.9981830698</v>
      </c>
      <c r="E39" s="3">
        <f>7347689.83555658</f>
        <v>7347689.8355565798</v>
      </c>
      <c r="F39" s="3">
        <f>7887647.00909887</f>
        <v>7887647.0090988697</v>
      </c>
      <c r="G39" s="3">
        <f>655901.571464999</f>
        <v>655901.571464999</v>
      </c>
      <c r="H39" s="3">
        <v>0</v>
      </c>
    </row>
    <row r="40" spans="1:10" x14ac:dyDescent="0.3">
      <c r="A40" s="11" t="s">
        <v>30</v>
      </c>
      <c r="B40" s="3">
        <f>1302039.1236925</f>
        <v>1302039.1236924999</v>
      </c>
      <c r="C40" s="3">
        <f>3775913.45870825</f>
        <v>3775913.45870825</v>
      </c>
      <c r="D40" s="3">
        <f>4580022.99818307</f>
        <v>4580022.9981830698</v>
      </c>
      <c r="E40" s="3">
        <f>7347689.83555658</f>
        <v>7347689.8355565798</v>
      </c>
      <c r="F40" s="3">
        <f>7887647.00909887</f>
        <v>7887647.0090988697</v>
      </c>
      <c r="G40" s="3">
        <f>655901.571464999</f>
        <v>655901.571464999</v>
      </c>
      <c r="H40" s="3">
        <v>0</v>
      </c>
    </row>
    <row r="41" spans="1:10" x14ac:dyDescent="0.3">
      <c r="A41" s="11" t="s">
        <v>31</v>
      </c>
      <c r="B41" s="3">
        <f>2303072.32</f>
        <v>2303072.3199999998</v>
      </c>
      <c r="C41" s="3">
        <f>2303072.32</f>
        <v>2303072.3199999998</v>
      </c>
      <c r="D41" s="3">
        <f>2299723.47</f>
        <v>2299723.4700000002</v>
      </c>
      <c r="E41" s="3">
        <f>2303708.77</f>
        <v>2303708.77</v>
      </c>
      <c r="F41" s="3">
        <f>2278035.49</f>
        <v>2278035.4900000002</v>
      </c>
      <c r="G41" s="3">
        <f>2124058.24</f>
        <v>2124058.2400000002</v>
      </c>
      <c r="H41" s="3">
        <f>2118662.63</f>
        <v>2118662.63</v>
      </c>
    </row>
    <row r="42" spans="1:10" x14ac:dyDescent="0.3">
      <c r="A42" s="11" t="s">
        <v>36</v>
      </c>
      <c r="B42" s="3">
        <v>0</v>
      </c>
      <c r="C42" s="3">
        <v>0</v>
      </c>
      <c r="D42" s="3">
        <f>362189.317649272</f>
        <v>362189.31764927198</v>
      </c>
      <c r="E42" s="3">
        <f>589801.719815408</f>
        <v>589801.719815408</v>
      </c>
      <c r="F42" s="3">
        <f>1314889.96282294</f>
        <v>1314889.96282294</v>
      </c>
      <c r="G42" s="3">
        <f>4680412.3981255</f>
        <v>4680412.3981255004</v>
      </c>
      <c r="H42" s="3">
        <f>4879651.57158964</f>
        <v>4879651.5715896403</v>
      </c>
    </row>
    <row r="43" spans="1:10" x14ac:dyDescent="0.3">
      <c r="A43" s="11" t="s">
        <v>37</v>
      </c>
      <c r="B43" s="24">
        <f>35831622.8100001</f>
        <v>35831622.810000099</v>
      </c>
      <c r="C43" s="24">
        <f>35831622.8100001</f>
        <v>35831622.810000099</v>
      </c>
      <c r="D43" s="24">
        <f>34935557.2966748</f>
        <v>34935557.296674803</v>
      </c>
      <c r="E43" s="24">
        <f>34380481.7365058</f>
        <v>34380481.736505799</v>
      </c>
      <c r="F43" s="24">
        <f>27256475.7816241</f>
        <v>27256475.781624101</v>
      </c>
      <c r="G43" s="24">
        <f>1377040.23499977</f>
        <v>1377040.2349997701</v>
      </c>
      <c r="H43" s="24">
        <v>0</v>
      </c>
    </row>
    <row r="45" spans="1:10" ht="15" thickBot="1" x14ac:dyDescent="0.35"/>
    <row r="46" spans="1:10" x14ac:dyDescent="0.3">
      <c r="A46" s="13" t="s">
        <v>15</v>
      </c>
      <c r="B46" s="41" t="s">
        <v>16</v>
      </c>
      <c r="C46" s="41"/>
      <c r="D46" s="41"/>
      <c r="E46" s="42"/>
      <c r="G46" s="2" t="s">
        <v>19</v>
      </c>
      <c r="H46" s="5" t="s">
        <v>35</v>
      </c>
    </row>
    <row r="47" spans="1:10" ht="15" thickBot="1" x14ac:dyDescent="0.35">
      <c r="A47" s="14" t="s">
        <v>18</v>
      </c>
      <c r="B47" s="15">
        <v>12</v>
      </c>
      <c r="C47" s="15">
        <v>52</v>
      </c>
      <c r="D47" s="15">
        <v>365</v>
      </c>
      <c r="E47" s="16">
        <v>8760</v>
      </c>
      <c r="G47" s="2" t="s">
        <v>20</v>
      </c>
      <c r="H47" s="5">
        <v>100</v>
      </c>
    </row>
    <row r="48" spans="1:10" x14ac:dyDescent="0.3">
      <c r="A48" s="12" t="s">
        <v>17</v>
      </c>
      <c r="B48" s="19">
        <f>60346334</f>
        <v>60346334</v>
      </c>
      <c r="C48" s="19">
        <f>59982206</f>
        <v>59982206</v>
      </c>
      <c r="D48" s="19">
        <f>60020615</f>
        <v>60020615</v>
      </c>
      <c r="E48" s="19">
        <f>60723698</f>
        <v>60723698</v>
      </c>
      <c r="G48" s="2" t="s">
        <v>21</v>
      </c>
      <c r="H48" s="5" t="s">
        <v>25</v>
      </c>
    </row>
    <row r="49" spans="1:8" x14ac:dyDescent="0.3">
      <c r="A49" s="2" t="s">
        <v>6</v>
      </c>
      <c r="B49" s="20">
        <v>3580.54</v>
      </c>
      <c r="C49" s="20">
        <v>3580.54</v>
      </c>
      <c r="D49" s="20">
        <v>3626.6286</v>
      </c>
      <c r="E49" s="20">
        <v>3746.5718999999999</v>
      </c>
      <c r="G49" s="2" t="s">
        <v>22</v>
      </c>
      <c r="H49" s="10">
        <v>0</v>
      </c>
    </row>
    <row r="50" spans="1:8" x14ac:dyDescent="0.3">
      <c r="A50" s="2" t="s">
        <v>8</v>
      </c>
      <c r="B50" s="20">
        <v>718.77547478125405</v>
      </c>
      <c r="C50" s="20">
        <f>668.779876747667</f>
        <v>668.779876747667</v>
      </c>
      <c r="D50" s="20">
        <v>484.619201641703</v>
      </c>
      <c r="E50" s="20">
        <f>534.198904298626</f>
        <v>534.19890429862596</v>
      </c>
      <c r="G50" s="11" t="s">
        <v>23</v>
      </c>
      <c r="H50" s="5" t="s">
        <v>27</v>
      </c>
    </row>
    <row r="51" spans="1:8" x14ac:dyDescent="0.3">
      <c r="A51" s="2" t="s">
        <v>7</v>
      </c>
      <c r="B51" s="20">
        <f>1200.28028353342</f>
        <v>1200.2802835334201</v>
      </c>
      <c r="C51" s="20">
        <f>1367.5190030946</f>
        <v>1367.5190030946001</v>
      </c>
      <c r="D51" s="20">
        <f>1033.701540214</f>
        <v>1033.701540214</v>
      </c>
      <c r="E51" s="20">
        <f>1010.60889127332</f>
        <v>1010.60889127332</v>
      </c>
      <c r="G51" s="11" t="s">
        <v>24</v>
      </c>
      <c r="H51" s="10" t="s">
        <v>28</v>
      </c>
    </row>
    <row r="52" spans="1:8" x14ac:dyDescent="0.3">
      <c r="A52" s="2" t="s">
        <v>9</v>
      </c>
      <c r="B52" s="20">
        <f>2043.72452521874</f>
        <v>2043.7245252187399</v>
      </c>
      <c r="C52" s="20">
        <v>1882.44837778188</v>
      </c>
      <c r="D52" s="20">
        <f>2036.27699339121</f>
        <v>2036.27699339121</v>
      </c>
      <c r="E52" s="20">
        <f>2387.37609570137</f>
        <v>2387.3760957013701</v>
      </c>
    </row>
    <row r="53" spans="1:8" x14ac:dyDescent="0.3">
      <c r="A53" s="2" t="s">
        <v>11</v>
      </c>
      <c r="B53" s="3">
        <f>6232621</f>
        <v>6232621</v>
      </c>
      <c r="C53" s="3">
        <f>6038962</f>
        <v>6038962</v>
      </c>
      <c r="D53" s="3">
        <f>5862668</f>
        <v>5862668</v>
      </c>
      <c r="E53" s="3">
        <f>6771208</f>
        <v>6771208</v>
      </c>
    </row>
    <row r="54" spans="1:8" x14ac:dyDescent="0.3">
      <c r="A54" s="11" t="s">
        <v>29</v>
      </c>
      <c r="B54" s="3">
        <v>0</v>
      </c>
      <c r="C54" s="3">
        <v>0</v>
      </c>
      <c r="D54" s="3">
        <v>0</v>
      </c>
      <c r="E54" s="3">
        <v>0</v>
      </c>
    </row>
    <row r="55" spans="1:8" x14ac:dyDescent="0.3">
      <c r="A55" s="11" t="s">
        <v>30</v>
      </c>
      <c r="B55" s="3">
        <v>0</v>
      </c>
      <c r="C55" s="3">
        <v>0</v>
      </c>
      <c r="D55" s="3">
        <v>0</v>
      </c>
      <c r="E55" s="3">
        <v>0</v>
      </c>
    </row>
    <row r="56" spans="1:8" x14ac:dyDescent="0.3">
      <c r="A56" s="11" t="s">
        <v>31</v>
      </c>
      <c r="B56" s="3">
        <f>2301494.16</f>
        <v>2301494.16</v>
      </c>
      <c r="C56" s="3">
        <f>2296135.62</f>
        <v>2296135.62</v>
      </c>
      <c r="D56" s="3">
        <f>2309845.68</f>
        <v>2309845.6800000002</v>
      </c>
      <c r="E56" s="3">
        <f>2294150.71</f>
        <v>2294150.71</v>
      </c>
    </row>
    <row r="57" spans="1:8" x14ac:dyDescent="0.3">
      <c r="A57" s="11" t="s">
        <v>36</v>
      </c>
      <c r="B57" s="3">
        <f>1395007.01237122</f>
        <v>1395007.0123712199</v>
      </c>
      <c r="C57" s="3">
        <f>1347437.64399266</f>
        <v>1347437.6439926601</v>
      </c>
      <c r="D57" s="3">
        <f>1247781.93076696</f>
        <v>1247781.9307669599</v>
      </c>
      <c r="E57" s="3">
        <f>1401820.24495707</f>
        <v>1401820.2449570701</v>
      </c>
    </row>
    <row r="58" spans="1:8" x14ac:dyDescent="0.3">
      <c r="A58" s="11" t="s">
        <v>37</v>
      </c>
      <c r="B58" s="20">
        <v>0</v>
      </c>
      <c r="C58" s="20">
        <v>0</v>
      </c>
      <c r="D58" s="20">
        <v>0</v>
      </c>
      <c r="E58" s="20">
        <v>0</v>
      </c>
    </row>
    <row r="59" spans="1:8" x14ac:dyDescent="0.3">
      <c r="A59" s="22"/>
      <c r="B59" s="23"/>
      <c r="C59" s="23"/>
      <c r="D59" s="23"/>
      <c r="E59" s="23"/>
    </row>
    <row r="60" spans="1:8" ht="15" thickBot="1" x14ac:dyDescent="0.35">
      <c r="A60" s="22"/>
      <c r="B60" s="23"/>
      <c r="C60" s="23"/>
      <c r="D60" s="23"/>
      <c r="E60" s="23"/>
    </row>
    <row r="61" spans="1:8" x14ac:dyDescent="0.3">
      <c r="A61" s="13" t="s">
        <v>15</v>
      </c>
      <c r="B61" s="41" t="s">
        <v>16</v>
      </c>
      <c r="C61" s="41"/>
      <c r="D61" s="41"/>
      <c r="E61" s="42"/>
      <c r="G61" s="2" t="s">
        <v>19</v>
      </c>
      <c r="H61" s="2"/>
    </row>
    <row r="62" spans="1:8" ht="15" thickBot="1" x14ac:dyDescent="0.35">
      <c r="A62" s="14" t="s">
        <v>18</v>
      </c>
      <c r="B62" s="15">
        <v>12</v>
      </c>
      <c r="C62" s="15">
        <v>52</v>
      </c>
      <c r="D62" s="15">
        <v>365</v>
      </c>
      <c r="E62" s="16">
        <v>8760</v>
      </c>
      <c r="G62" s="2" t="s">
        <v>20</v>
      </c>
      <c r="H62" s="5">
        <v>50</v>
      </c>
    </row>
    <row r="63" spans="1:8" x14ac:dyDescent="0.3">
      <c r="A63" s="12" t="s">
        <v>17</v>
      </c>
      <c r="B63" s="19"/>
      <c r="C63" s="19"/>
      <c r="D63" s="19"/>
      <c r="E63" s="19"/>
      <c r="G63" s="2" t="s">
        <v>21</v>
      </c>
      <c r="H63" s="5" t="s">
        <v>25</v>
      </c>
    </row>
    <row r="64" spans="1:8" x14ac:dyDescent="0.3">
      <c r="A64" s="2" t="s">
        <v>6</v>
      </c>
      <c r="B64" s="20"/>
      <c r="C64" s="20"/>
      <c r="D64" s="20"/>
      <c r="E64" s="20"/>
      <c r="G64" s="2" t="s">
        <v>22</v>
      </c>
      <c r="H64" s="10">
        <v>0</v>
      </c>
    </row>
    <row r="65" spans="1:8" x14ac:dyDescent="0.3">
      <c r="A65" s="2" t="s">
        <v>8</v>
      </c>
      <c r="B65" s="20"/>
      <c r="C65" s="20"/>
      <c r="D65" s="20"/>
      <c r="E65" s="20"/>
      <c r="G65" s="11" t="s">
        <v>23</v>
      </c>
      <c r="H65" s="5" t="s">
        <v>26</v>
      </c>
    </row>
    <row r="66" spans="1:8" x14ac:dyDescent="0.3">
      <c r="A66" s="2" t="s">
        <v>7</v>
      </c>
      <c r="B66" s="20"/>
      <c r="C66" s="20"/>
      <c r="D66" s="20"/>
      <c r="E66" s="20"/>
      <c r="G66" s="11" t="s">
        <v>24</v>
      </c>
      <c r="H66" s="10">
        <v>0</v>
      </c>
    </row>
    <row r="67" spans="1:8" x14ac:dyDescent="0.3">
      <c r="A67" s="2" t="s">
        <v>9</v>
      </c>
      <c r="B67" s="20"/>
      <c r="C67" s="20"/>
      <c r="D67" s="20"/>
      <c r="E67" s="20"/>
      <c r="G67" s="6"/>
      <c r="H67" s="6"/>
    </row>
    <row r="68" spans="1:8" x14ac:dyDescent="0.3">
      <c r="A68" s="2" t="s">
        <v>11</v>
      </c>
      <c r="B68" s="3"/>
      <c r="C68" s="3"/>
      <c r="D68" s="3"/>
      <c r="E68" s="3"/>
      <c r="G68" s="6"/>
      <c r="H68" s="6"/>
    </row>
    <row r="69" spans="1:8" x14ac:dyDescent="0.3">
      <c r="A69" s="11" t="s">
        <v>29</v>
      </c>
      <c r="B69" s="3"/>
      <c r="C69" s="3"/>
      <c r="D69" s="3"/>
      <c r="E69" s="3"/>
    </row>
    <row r="70" spans="1:8" x14ac:dyDescent="0.3">
      <c r="A70" s="11" t="s">
        <v>30</v>
      </c>
      <c r="B70" s="3"/>
      <c r="C70" s="3"/>
      <c r="D70" s="3"/>
      <c r="E70" s="3"/>
    </row>
    <row r="71" spans="1:8" x14ac:dyDescent="0.3">
      <c r="A71" s="11" t="s">
        <v>31</v>
      </c>
      <c r="B71" s="3"/>
      <c r="C71" s="3"/>
      <c r="D71" s="3"/>
      <c r="E71" s="3"/>
    </row>
    <row r="72" spans="1:8" x14ac:dyDescent="0.3">
      <c r="A72" s="11" t="s">
        <v>36</v>
      </c>
      <c r="B72" s="3"/>
      <c r="C72" s="3"/>
      <c r="D72" s="3"/>
      <c r="E72" s="3"/>
    </row>
    <row r="73" spans="1:8" x14ac:dyDescent="0.3">
      <c r="A73" s="11" t="s">
        <v>37</v>
      </c>
      <c r="B73" s="20"/>
      <c r="C73" s="20"/>
      <c r="D73" s="20"/>
      <c r="E73" s="20"/>
    </row>
    <row r="75" spans="1:8" ht="15" thickBot="1" x14ac:dyDescent="0.35"/>
    <row r="76" spans="1:8" x14ac:dyDescent="0.3">
      <c r="A76" s="13" t="s">
        <v>15</v>
      </c>
      <c r="B76" s="41" t="s">
        <v>16</v>
      </c>
      <c r="C76" s="41"/>
      <c r="D76" s="41"/>
      <c r="E76" s="42"/>
      <c r="G76" s="2" t="s">
        <v>19</v>
      </c>
      <c r="H76" s="2"/>
    </row>
    <row r="77" spans="1:8" ht="15" thickBot="1" x14ac:dyDescent="0.35">
      <c r="A77" s="14" t="s">
        <v>18</v>
      </c>
      <c r="B77" s="15">
        <v>12</v>
      </c>
      <c r="C77" s="15">
        <v>52</v>
      </c>
      <c r="D77" s="15">
        <v>365</v>
      </c>
      <c r="E77" s="16">
        <v>8760</v>
      </c>
      <c r="G77" s="2" t="s">
        <v>20</v>
      </c>
      <c r="H77" s="5">
        <v>150</v>
      </c>
    </row>
    <row r="78" spans="1:8" x14ac:dyDescent="0.3">
      <c r="A78" s="12" t="s">
        <v>17</v>
      </c>
      <c r="B78" s="19"/>
      <c r="C78" s="19"/>
      <c r="D78" s="19"/>
      <c r="E78" s="19"/>
      <c r="G78" s="2" t="s">
        <v>21</v>
      </c>
      <c r="H78" s="5" t="s">
        <v>25</v>
      </c>
    </row>
    <row r="79" spans="1:8" x14ac:dyDescent="0.3">
      <c r="A79" s="2" t="s">
        <v>6</v>
      </c>
      <c r="B79" s="20"/>
      <c r="C79" s="20"/>
      <c r="D79" s="20"/>
      <c r="E79" s="20"/>
      <c r="G79" s="2" t="s">
        <v>22</v>
      </c>
      <c r="H79" s="10">
        <v>0</v>
      </c>
    </row>
    <row r="80" spans="1:8" x14ac:dyDescent="0.3">
      <c r="A80" s="2" t="s">
        <v>8</v>
      </c>
      <c r="B80" s="20"/>
      <c r="C80" s="20"/>
      <c r="D80" s="20"/>
      <c r="E80" s="20"/>
      <c r="G80" s="11" t="s">
        <v>23</v>
      </c>
      <c r="H80" s="5" t="s">
        <v>26</v>
      </c>
    </row>
    <row r="81" spans="1:8" x14ac:dyDescent="0.3">
      <c r="A81" s="2" t="s">
        <v>7</v>
      </c>
      <c r="B81" s="20"/>
      <c r="C81" s="20"/>
      <c r="D81" s="20"/>
      <c r="E81" s="20"/>
      <c r="G81" s="11" t="s">
        <v>24</v>
      </c>
      <c r="H81" s="10">
        <v>0</v>
      </c>
    </row>
    <row r="82" spans="1:8" x14ac:dyDescent="0.3">
      <c r="A82" s="2" t="s">
        <v>9</v>
      </c>
      <c r="B82" s="20"/>
      <c r="C82" s="20"/>
      <c r="D82" s="20"/>
      <c r="E82" s="20"/>
      <c r="G82" s="6"/>
      <c r="H82" s="6"/>
    </row>
    <row r="83" spans="1:8" x14ac:dyDescent="0.3">
      <c r="A83" s="2" t="s">
        <v>11</v>
      </c>
      <c r="B83" s="3"/>
      <c r="C83" s="3"/>
      <c r="D83" s="3"/>
      <c r="E83" s="3"/>
      <c r="G83" s="6"/>
      <c r="H83" s="6"/>
    </row>
    <row r="84" spans="1:8" x14ac:dyDescent="0.3">
      <c r="A84" s="11" t="s">
        <v>29</v>
      </c>
      <c r="B84" s="3"/>
      <c r="C84" s="3"/>
      <c r="D84" s="3"/>
      <c r="E84" s="3"/>
    </row>
    <row r="85" spans="1:8" x14ac:dyDescent="0.3">
      <c r="A85" s="11" t="s">
        <v>30</v>
      </c>
      <c r="B85" s="3"/>
      <c r="C85" s="3"/>
      <c r="D85" s="3"/>
      <c r="E85" s="3"/>
    </row>
    <row r="86" spans="1:8" x14ac:dyDescent="0.3">
      <c r="A86" s="11" t="s">
        <v>31</v>
      </c>
      <c r="B86" s="3"/>
      <c r="C86" s="3"/>
      <c r="D86" s="3"/>
      <c r="E86" s="3"/>
    </row>
    <row r="87" spans="1:8" x14ac:dyDescent="0.3">
      <c r="A87" s="11" t="s">
        <v>36</v>
      </c>
      <c r="B87" s="3"/>
      <c r="C87" s="3"/>
      <c r="D87" s="3"/>
      <c r="E87" s="3"/>
    </row>
    <row r="88" spans="1:8" x14ac:dyDescent="0.3">
      <c r="A88" s="11" t="s">
        <v>37</v>
      </c>
      <c r="B88" s="20"/>
      <c r="C88" s="20"/>
      <c r="D88" s="20"/>
      <c r="E88" s="20"/>
    </row>
    <row r="90" spans="1:8" ht="15" thickBot="1" x14ac:dyDescent="0.35"/>
    <row r="91" spans="1:8" x14ac:dyDescent="0.3">
      <c r="A91" s="13" t="s">
        <v>15</v>
      </c>
      <c r="B91" s="41" t="s">
        <v>16</v>
      </c>
      <c r="C91" s="41"/>
      <c r="D91" s="41"/>
      <c r="E91" s="42"/>
      <c r="G91" s="2" t="s">
        <v>19</v>
      </c>
      <c r="H91" s="2"/>
    </row>
    <row r="92" spans="1:8" ht="15" thickBot="1" x14ac:dyDescent="0.35">
      <c r="A92" s="14" t="s">
        <v>18</v>
      </c>
      <c r="B92" s="15">
        <v>12</v>
      </c>
      <c r="C92" s="15">
        <v>52</v>
      </c>
      <c r="D92" s="15">
        <v>365</v>
      </c>
      <c r="E92" s="16">
        <v>8760</v>
      </c>
      <c r="G92" s="2" t="s">
        <v>20</v>
      </c>
      <c r="H92" s="5">
        <v>100</v>
      </c>
    </row>
    <row r="93" spans="1:8" x14ac:dyDescent="0.3">
      <c r="A93" s="12" t="s">
        <v>17</v>
      </c>
      <c r="B93" s="19"/>
      <c r="C93" s="19"/>
      <c r="D93" s="19"/>
      <c r="E93" s="19"/>
      <c r="G93" s="2" t="s">
        <v>21</v>
      </c>
      <c r="H93" s="5">
        <v>0.15</v>
      </c>
    </row>
    <row r="94" spans="1:8" x14ac:dyDescent="0.3">
      <c r="A94" s="2" t="s">
        <v>6</v>
      </c>
      <c r="B94" s="20"/>
      <c r="C94" s="20"/>
      <c r="D94" s="20"/>
      <c r="E94" s="20"/>
      <c r="G94" s="2" t="s">
        <v>22</v>
      </c>
      <c r="H94" s="10">
        <v>0</v>
      </c>
    </row>
    <row r="95" spans="1:8" x14ac:dyDescent="0.3">
      <c r="A95" s="2" t="s">
        <v>8</v>
      </c>
      <c r="B95" s="20"/>
      <c r="C95" s="20"/>
      <c r="D95" s="20"/>
      <c r="E95" s="20"/>
      <c r="G95" s="11" t="s">
        <v>23</v>
      </c>
      <c r="H95" s="5" t="s">
        <v>26</v>
      </c>
    </row>
    <row r="96" spans="1:8" x14ac:dyDescent="0.3">
      <c r="A96" s="2" t="s">
        <v>7</v>
      </c>
      <c r="B96" s="20"/>
      <c r="C96" s="20"/>
      <c r="D96" s="20"/>
      <c r="E96" s="20"/>
      <c r="G96" s="11" t="s">
        <v>24</v>
      </c>
      <c r="H96" s="10">
        <v>0</v>
      </c>
    </row>
    <row r="97" spans="1:8" x14ac:dyDescent="0.3">
      <c r="A97" s="2" t="s">
        <v>9</v>
      </c>
      <c r="B97" s="20"/>
      <c r="C97" s="20"/>
      <c r="D97" s="20"/>
      <c r="E97" s="20"/>
      <c r="G97" s="6"/>
      <c r="H97" s="6"/>
    </row>
    <row r="98" spans="1:8" x14ac:dyDescent="0.3">
      <c r="A98" s="2" t="s">
        <v>11</v>
      </c>
      <c r="B98" s="3"/>
      <c r="C98" s="3"/>
      <c r="D98" s="3"/>
      <c r="E98" s="3"/>
      <c r="G98" s="6"/>
      <c r="H98" s="6"/>
    </row>
    <row r="99" spans="1:8" x14ac:dyDescent="0.3">
      <c r="A99" s="11" t="s">
        <v>29</v>
      </c>
      <c r="B99" s="3"/>
      <c r="C99" s="3"/>
      <c r="D99" s="3"/>
      <c r="E99" s="3"/>
    </row>
    <row r="100" spans="1:8" x14ac:dyDescent="0.3">
      <c r="A100" s="11" t="s">
        <v>30</v>
      </c>
      <c r="B100" s="3"/>
      <c r="C100" s="3"/>
      <c r="D100" s="3"/>
      <c r="E100" s="3"/>
    </row>
    <row r="101" spans="1:8" x14ac:dyDescent="0.3">
      <c r="A101" s="11" t="s">
        <v>31</v>
      </c>
      <c r="B101" s="3"/>
      <c r="C101" s="3"/>
      <c r="D101" s="3"/>
      <c r="E101" s="3"/>
    </row>
    <row r="102" spans="1:8" x14ac:dyDescent="0.3">
      <c r="A102" s="11" t="s">
        <v>36</v>
      </c>
      <c r="B102" s="3"/>
      <c r="C102" s="3"/>
      <c r="D102" s="3"/>
      <c r="E102" s="3"/>
    </row>
    <row r="103" spans="1:8" x14ac:dyDescent="0.3">
      <c r="A103" s="11" t="s">
        <v>37</v>
      </c>
      <c r="B103" s="20"/>
      <c r="C103" s="20"/>
      <c r="D103" s="20"/>
      <c r="E103" s="20"/>
    </row>
    <row r="105" spans="1:8" ht="15" thickBot="1" x14ac:dyDescent="0.35"/>
    <row r="106" spans="1:8" x14ac:dyDescent="0.3">
      <c r="A106" s="13" t="s">
        <v>15</v>
      </c>
      <c r="B106" s="41" t="s">
        <v>16</v>
      </c>
      <c r="C106" s="41"/>
      <c r="D106" s="41"/>
      <c r="E106" s="42"/>
      <c r="G106" s="2" t="s">
        <v>19</v>
      </c>
      <c r="H106" s="2"/>
    </row>
    <row r="107" spans="1:8" ht="15" thickBot="1" x14ac:dyDescent="0.35">
      <c r="A107" s="14" t="s">
        <v>18</v>
      </c>
      <c r="B107" s="15">
        <v>12</v>
      </c>
      <c r="C107" s="15">
        <v>52</v>
      </c>
      <c r="D107" s="15">
        <v>365</v>
      </c>
      <c r="E107" s="16">
        <v>8760</v>
      </c>
      <c r="G107" s="2" t="s">
        <v>20</v>
      </c>
      <c r="H107" s="5">
        <v>100</v>
      </c>
    </row>
    <row r="108" spans="1:8" x14ac:dyDescent="0.3">
      <c r="A108" s="12" t="s">
        <v>17</v>
      </c>
      <c r="B108" s="19"/>
      <c r="C108" s="19"/>
      <c r="D108" s="19"/>
      <c r="E108" s="19"/>
      <c r="G108" s="2" t="s">
        <v>21</v>
      </c>
      <c r="H108" s="17">
        <v>0.5</v>
      </c>
    </row>
    <row r="109" spans="1:8" x14ac:dyDescent="0.3">
      <c r="A109" s="2" t="s">
        <v>6</v>
      </c>
      <c r="B109" s="20"/>
      <c r="C109" s="20"/>
      <c r="D109" s="20"/>
      <c r="E109" s="20"/>
      <c r="G109" s="2" t="s">
        <v>22</v>
      </c>
      <c r="H109" s="10">
        <v>0</v>
      </c>
    </row>
    <row r="110" spans="1:8" x14ac:dyDescent="0.3">
      <c r="A110" s="2" t="s">
        <v>8</v>
      </c>
      <c r="B110" s="20"/>
      <c r="C110" s="20"/>
      <c r="D110" s="20"/>
      <c r="E110" s="20"/>
      <c r="G110" s="11" t="s">
        <v>23</v>
      </c>
      <c r="H110" s="5" t="s">
        <v>26</v>
      </c>
    </row>
    <row r="111" spans="1:8" x14ac:dyDescent="0.3">
      <c r="A111" s="2" t="s">
        <v>7</v>
      </c>
      <c r="B111" s="20"/>
      <c r="C111" s="20"/>
      <c r="D111" s="20"/>
      <c r="E111" s="20"/>
      <c r="G111" s="11" t="s">
        <v>24</v>
      </c>
      <c r="H111" s="10">
        <v>0</v>
      </c>
    </row>
    <row r="112" spans="1:8" x14ac:dyDescent="0.3">
      <c r="A112" s="2" t="s">
        <v>9</v>
      </c>
      <c r="B112" s="20"/>
      <c r="C112" s="20"/>
      <c r="D112" s="20"/>
      <c r="E112" s="20"/>
      <c r="G112" s="6"/>
      <c r="H112" s="6"/>
    </row>
    <row r="113" spans="1:8" x14ac:dyDescent="0.3">
      <c r="A113" s="2" t="s">
        <v>11</v>
      </c>
      <c r="B113" s="3"/>
      <c r="C113" s="3"/>
      <c r="D113" s="3"/>
      <c r="E113" s="3"/>
      <c r="G113" s="6"/>
      <c r="H113" s="6"/>
    </row>
    <row r="114" spans="1:8" x14ac:dyDescent="0.3">
      <c r="A114" s="11" t="s">
        <v>29</v>
      </c>
      <c r="B114" s="3"/>
      <c r="C114" s="3"/>
      <c r="D114" s="3"/>
      <c r="E114" s="3"/>
    </row>
    <row r="115" spans="1:8" x14ac:dyDescent="0.3">
      <c r="A115" s="11" t="s">
        <v>30</v>
      </c>
      <c r="B115" s="3"/>
      <c r="C115" s="3"/>
      <c r="D115" s="3"/>
      <c r="E115" s="3"/>
    </row>
    <row r="116" spans="1:8" x14ac:dyDescent="0.3">
      <c r="A116" s="11" t="s">
        <v>31</v>
      </c>
      <c r="B116" s="3"/>
      <c r="C116" s="3"/>
      <c r="D116" s="3"/>
      <c r="E116" s="3"/>
    </row>
    <row r="117" spans="1:8" x14ac:dyDescent="0.3">
      <c r="A117" s="11" t="s">
        <v>36</v>
      </c>
      <c r="B117" s="3"/>
      <c r="C117" s="3"/>
      <c r="D117" s="3"/>
      <c r="E117" s="3"/>
    </row>
    <row r="118" spans="1:8" x14ac:dyDescent="0.3">
      <c r="A118" s="11" t="s">
        <v>37</v>
      </c>
      <c r="B118" s="20"/>
      <c r="C118" s="20"/>
      <c r="D118" s="20"/>
      <c r="E118" s="20"/>
    </row>
    <row r="120" spans="1:8" ht="15" thickBot="1" x14ac:dyDescent="0.35"/>
    <row r="121" spans="1:8" x14ac:dyDescent="0.3">
      <c r="A121" s="13" t="s">
        <v>15</v>
      </c>
      <c r="B121" s="41" t="s">
        <v>16</v>
      </c>
      <c r="C121" s="41"/>
      <c r="D121" s="41"/>
      <c r="E121" s="42"/>
      <c r="G121" s="2" t="s">
        <v>19</v>
      </c>
      <c r="H121" s="2"/>
    </row>
    <row r="122" spans="1:8" ht="15" thickBot="1" x14ac:dyDescent="0.35">
      <c r="A122" s="14" t="s">
        <v>18</v>
      </c>
      <c r="B122" s="15">
        <v>12</v>
      </c>
      <c r="C122" s="15">
        <v>52</v>
      </c>
      <c r="D122" s="15">
        <v>365</v>
      </c>
      <c r="E122" s="16">
        <v>8760</v>
      </c>
      <c r="G122" s="2" t="s">
        <v>20</v>
      </c>
      <c r="H122" s="5">
        <v>100</v>
      </c>
    </row>
    <row r="123" spans="1:8" x14ac:dyDescent="0.3">
      <c r="A123" s="12" t="s">
        <v>17</v>
      </c>
      <c r="B123" s="19"/>
      <c r="C123" s="19"/>
      <c r="D123" s="19"/>
      <c r="E123" s="19"/>
      <c r="G123" s="2" t="s">
        <v>21</v>
      </c>
      <c r="H123" s="17" t="s">
        <v>25</v>
      </c>
    </row>
    <row r="124" spans="1:8" x14ac:dyDescent="0.3">
      <c r="A124" s="2" t="s">
        <v>6</v>
      </c>
      <c r="B124" s="20"/>
      <c r="C124" s="20"/>
      <c r="D124" s="20"/>
      <c r="E124" s="20"/>
      <c r="G124" s="2" t="s">
        <v>22</v>
      </c>
      <c r="H124" s="18">
        <v>0.25</v>
      </c>
    </row>
    <row r="125" spans="1:8" x14ac:dyDescent="0.3">
      <c r="A125" s="2" t="s">
        <v>8</v>
      </c>
      <c r="B125" s="20"/>
      <c r="C125" s="20"/>
      <c r="D125" s="20"/>
      <c r="E125" s="20"/>
      <c r="G125" s="11" t="s">
        <v>23</v>
      </c>
      <c r="H125" s="5" t="s">
        <v>26</v>
      </c>
    </row>
    <row r="126" spans="1:8" x14ac:dyDescent="0.3">
      <c r="A126" s="2" t="s">
        <v>7</v>
      </c>
      <c r="B126" s="20"/>
      <c r="C126" s="20"/>
      <c r="D126" s="20"/>
      <c r="E126" s="20"/>
      <c r="G126" s="11" t="s">
        <v>24</v>
      </c>
      <c r="H126" s="10">
        <v>0</v>
      </c>
    </row>
    <row r="127" spans="1:8" x14ac:dyDescent="0.3">
      <c r="A127" s="2" t="s">
        <v>9</v>
      </c>
      <c r="B127" s="20"/>
      <c r="C127" s="20"/>
      <c r="D127" s="20"/>
      <c r="E127" s="20"/>
      <c r="G127" s="6"/>
      <c r="H127" s="6"/>
    </row>
    <row r="128" spans="1:8" x14ac:dyDescent="0.3">
      <c r="A128" s="2" t="s">
        <v>11</v>
      </c>
      <c r="B128" s="3"/>
      <c r="C128" s="3"/>
      <c r="D128" s="3"/>
      <c r="E128" s="3"/>
      <c r="G128" s="6"/>
      <c r="H128" s="6"/>
    </row>
    <row r="129" spans="1:5" x14ac:dyDescent="0.3">
      <c r="A129" s="11" t="s">
        <v>29</v>
      </c>
      <c r="B129" s="3"/>
      <c r="C129" s="3"/>
      <c r="D129" s="3"/>
      <c r="E129" s="3"/>
    </row>
    <row r="130" spans="1:5" x14ac:dyDescent="0.3">
      <c r="A130" s="11" t="s">
        <v>30</v>
      </c>
      <c r="B130" s="3"/>
      <c r="C130" s="3"/>
      <c r="D130" s="3"/>
      <c r="E130" s="3"/>
    </row>
    <row r="131" spans="1:5" x14ac:dyDescent="0.3">
      <c r="A131" s="11" t="s">
        <v>31</v>
      </c>
      <c r="B131" s="3"/>
      <c r="C131" s="3"/>
      <c r="D131" s="3"/>
      <c r="E131" s="3"/>
    </row>
    <row r="132" spans="1:5" x14ac:dyDescent="0.3">
      <c r="A132" s="11" t="s">
        <v>36</v>
      </c>
      <c r="B132" s="3"/>
      <c r="C132" s="3"/>
      <c r="D132" s="3"/>
      <c r="E132" s="3"/>
    </row>
    <row r="133" spans="1:5" x14ac:dyDescent="0.3">
      <c r="A133" s="11" t="s">
        <v>37</v>
      </c>
      <c r="B133" s="20"/>
      <c r="C133" s="20"/>
      <c r="D133" s="20"/>
      <c r="E133" s="20"/>
    </row>
  </sheetData>
  <mergeCells count="9">
    <mergeCell ref="B46:E46"/>
    <mergeCell ref="B91:E91"/>
    <mergeCell ref="B106:E106"/>
    <mergeCell ref="B121:E121"/>
    <mergeCell ref="B1:E1"/>
    <mergeCell ref="B16:E16"/>
    <mergeCell ref="B61:E61"/>
    <mergeCell ref="B76:E76"/>
    <mergeCell ref="B31:H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56E8-6821-478D-BD57-602F601B30B6}">
  <dimension ref="A1:O118"/>
  <sheetViews>
    <sheetView zoomScaleNormal="100" workbookViewId="0">
      <selection activeCell="D22" sqref="D22"/>
    </sheetView>
  </sheetViews>
  <sheetFormatPr defaultRowHeight="14.4" x14ac:dyDescent="0.3"/>
  <cols>
    <col min="1" max="1" width="34.5546875" customWidth="1"/>
    <col min="2" max="2" width="18.21875" customWidth="1"/>
    <col min="3" max="3" width="18.44140625" customWidth="1"/>
    <col min="4" max="4" width="17.21875" customWidth="1"/>
    <col min="5" max="5" width="17.88671875" customWidth="1"/>
    <col min="7" max="7" width="21.21875" customWidth="1"/>
    <col min="8" max="8" width="21.88671875" customWidth="1"/>
    <col min="9" max="9" width="11" customWidth="1"/>
    <col min="10" max="10" width="30.33203125" customWidth="1"/>
    <col min="11" max="11" width="17.6640625" customWidth="1"/>
    <col min="12" max="12" width="15.21875" customWidth="1"/>
    <col min="13" max="13" width="15.88671875" customWidth="1"/>
    <col min="14" max="14" width="15.6640625" customWidth="1"/>
    <col min="15" max="15" width="17.88671875" customWidth="1"/>
  </cols>
  <sheetData>
    <row r="1" spans="1:15" x14ac:dyDescent="0.3">
      <c r="A1" s="13" t="s">
        <v>32</v>
      </c>
      <c r="B1" s="41" t="s">
        <v>16</v>
      </c>
      <c r="C1" s="41"/>
      <c r="D1" s="41"/>
      <c r="E1" s="42"/>
      <c r="G1" s="2" t="s">
        <v>19</v>
      </c>
      <c r="H1" s="5" t="s">
        <v>33</v>
      </c>
      <c r="J1" s="1" t="s">
        <v>14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4</v>
      </c>
    </row>
    <row r="2" spans="1:15" ht="15" thickBot="1" x14ac:dyDescent="0.35">
      <c r="A2" s="14" t="s">
        <v>18</v>
      </c>
      <c r="B2" s="15">
        <v>12</v>
      </c>
      <c r="C2" s="15">
        <v>52</v>
      </c>
      <c r="D2" s="15">
        <v>365</v>
      </c>
      <c r="E2" s="16">
        <v>8760</v>
      </c>
      <c r="G2" s="2" t="s">
        <v>20</v>
      </c>
      <c r="H2" s="5">
        <v>100</v>
      </c>
      <c r="J2" s="2" t="s">
        <v>5</v>
      </c>
      <c r="K2" s="3">
        <v>406512</v>
      </c>
      <c r="L2" s="3">
        <v>-1951517</v>
      </c>
      <c r="M2" s="3">
        <v>-2618918</v>
      </c>
      <c r="N2" s="3">
        <v>-11295829</v>
      </c>
      <c r="O2" s="3">
        <v>-29634101</v>
      </c>
    </row>
    <row r="3" spans="1:15" x14ac:dyDescent="0.3">
      <c r="A3" s="12" t="s">
        <v>17</v>
      </c>
      <c r="B3" s="19">
        <f>55772516</f>
        <v>55772516</v>
      </c>
      <c r="C3" s="19">
        <f>55750300</f>
        <v>55750300</v>
      </c>
      <c r="D3" s="19">
        <f>55750700</f>
        <v>55750700</v>
      </c>
      <c r="E3" s="19">
        <f>55785300</f>
        <v>55785300</v>
      </c>
      <c r="G3" s="2" t="s">
        <v>21</v>
      </c>
      <c r="H3" s="5" t="s">
        <v>25</v>
      </c>
      <c r="J3" s="2" t="s">
        <v>6</v>
      </c>
      <c r="K3" s="2">
        <v>3830.7049000000002</v>
      </c>
      <c r="L3" s="2">
        <v>3776.5918000000001</v>
      </c>
      <c r="M3" s="2">
        <v>3907.4016999999999</v>
      </c>
      <c r="N3" s="2">
        <v>4289.3379000000004</v>
      </c>
      <c r="O3" s="2">
        <v>7505.7646000000004</v>
      </c>
    </row>
    <row r="4" spans="1:15" x14ac:dyDescent="0.3">
      <c r="A4" s="2" t="s">
        <v>6</v>
      </c>
      <c r="B4" s="20">
        <v>3832.8957</v>
      </c>
      <c r="C4" s="20">
        <v>3832.8957</v>
      </c>
      <c r="D4" s="20">
        <v>3832.8957</v>
      </c>
      <c r="E4" s="20">
        <v>3832.8957</v>
      </c>
      <c r="G4" s="2" t="s">
        <v>22</v>
      </c>
      <c r="H4" s="10">
        <v>0</v>
      </c>
      <c r="I4" s="7"/>
      <c r="J4" s="2" t="s">
        <v>7</v>
      </c>
      <c r="K4" s="2">
        <v>675.67219999999998</v>
      </c>
      <c r="L4" s="2">
        <v>1887.3989999999999</v>
      </c>
      <c r="M4" s="2">
        <v>1879.9992</v>
      </c>
      <c r="N4" s="2">
        <v>17951.7657</v>
      </c>
      <c r="O4" s="2">
        <v>42079.477400000003</v>
      </c>
    </row>
    <row r="5" spans="1:15" x14ac:dyDescent="0.3">
      <c r="A5" s="2" t="s">
        <v>8</v>
      </c>
      <c r="B5" s="20">
        <v>338.93099999999998</v>
      </c>
      <c r="C5" s="20">
        <f>338.931</f>
        <v>338.93099999999998</v>
      </c>
      <c r="D5" s="20">
        <f>338.931</f>
        <v>338.93099999999998</v>
      </c>
      <c r="E5" s="20">
        <f>338.931</f>
        <v>338.93099999999998</v>
      </c>
      <c r="G5" s="11" t="s">
        <v>23</v>
      </c>
      <c r="H5" s="5" t="s">
        <v>26</v>
      </c>
      <c r="I5" s="7"/>
      <c r="J5" s="2" t="s">
        <v>8</v>
      </c>
      <c r="K5" s="2">
        <v>325.56330000000003</v>
      </c>
      <c r="L5" s="2">
        <v>1013.8258</v>
      </c>
      <c r="M5" s="2">
        <v>622.40959999999995</v>
      </c>
      <c r="N5" s="2">
        <v>1846.7016000000001</v>
      </c>
      <c r="O5" s="2">
        <v>4112.2006000000001</v>
      </c>
    </row>
    <row r="6" spans="1:15" x14ac:dyDescent="0.3">
      <c r="A6" s="2" t="s">
        <v>7</v>
      </c>
      <c r="B6" s="20">
        <f>732.074</f>
        <v>732.07399999999996</v>
      </c>
      <c r="C6" s="20">
        <v>732.07399999999996</v>
      </c>
      <c r="D6" s="20">
        <f>732.074</f>
        <v>732.07399999999996</v>
      </c>
      <c r="E6" s="20">
        <v>732.07399999999996</v>
      </c>
      <c r="G6" s="11" t="s">
        <v>24</v>
      </c>
      <c r="H6" s="10">
        <v>0</v>
      </c>
      <c r="I6" s="7"/>
      <c r="J6" s="2" t="s">
        <v>9</v>
      </c>
      <c r="K6" s="2">
        <v>0</v>
      </c>
      <c r="L6" s="2">
        <v>1135.01</v>
      </c>
      <c r="M6" s="2">
        <v>1804.44</v>
      </c>
      <c r="N6" s="2">
        <v>867.76300000000003</v>
      </c>
      <c r="O6" s="2">
        <v>433.553</v>
      </c>
    </row>
    <row r="7" spans="1:15" x14ac:dyDescent="0.3">
      <c r="A7" s="2" t="s">
        <v>9</v>
      </c>
      <c r="B7" s="20">
        <v>17.208200000000001</v>
      </c>
      <c r="C7" s="20">
        <v>5.5486700000000004</v>
      </c>
      <c r="D7" s="20">
        <v>5.72</v>
      </c>
      <c r="E7" s="20">
        <v>23.927199999999999</v>
      </c>
      <c r="G7" s="6"/>
      <c r="H7" s="6"/>
      <c r="I7" s="7"/>
      <c r="J7" s="2" t="s">
        <v>10</v>
      </c>
      <c r="K7" s="3">
        <v>957519.34</v>
      </c>
      <c r="L7" s="3">
        <v>2525509.13</v>
      </c>
      <c r="M7" s="3">
        <v>2737622.45</v>
      </c>
      <c r="N7" s="3">
        <v>10658929.08</v>
      </c>
      <c r="O7" s="3">
        <v>27624764.870000001</v>
      </c>
    </row>
    <row r="8" spans="1:15" x14ac:dyDescent="0.3">
      <c r="A8" s="2" t="s">
        <v>11</v>
      </c>
      <c r="B8" s="3">
        <f>3010520</f>
        <v>3010520</v>
      </c>
      <c r="C8" s="3">
        <f>2992873</f>
        <v>2992873</v>
      </c>
      <c r="D8" s="3">
        <f>2993133</f>
        <v>2993133</v>
      </c>
      <c r="E8" s="3">
        <f>3020690</f>
        <v>3020690</v>
      </c>
      <c r="G8" s="6"/>
      <c r="H8" s="6"/>
      <c r="I8" s="7"/>
      <c r="J8" s="2" t="s">
        <v>11</v>
      </c>
      <c r="K8" s="3">
        <v>2915736</v>
      </c>
      <c r="L8" s="3">
        <v>6455919</v>
      </c>
      <c r="M8" s="3">
        <v>7239810</v>
      </c>
      <c r="N8" s="3">
        <v>20856749</v>
      </c>
      <c r="O8" s="3">
        <v>50430082</v>
      </c>
    </row>
    <row r="9" spans="1:15" x14ac:dyDescent="0.3">
      <c r="A9" s="11" t="s">
        <v>29</v>
      </c>
      <c r="B9" s="3">
        <v>0</v>
      </c>
      <c r="C9" s="3">
        <v>0</v>
      </c>
      <c r="D9" s="3">
        <v>0</v>
      </c>
      <c r="E9" s="3">
        <v>0</v>
      </c>
      <c r="G9" s="6"/>
      <c r="H9" s="6"/>
      <c r="I9" s="7"/>
      <c r="J9" s="2" t="s">
        <v>12</v>
      </c>
      <c r="K9" s="3">
        <v>12028</v>
      </c>
      <c r="L9" s="3">
        <v>9175.84</v>
      </c>
      <c r="M9" s="3">
        <v>15508.06</v>
      </c>
      <c r="N9" s="3">
        <v>30487.75</v>
      </c>
      <c r="O9" s="3">
        <v>178221.01</v>
      </c>
    </row>
    <row r="10" spans="1:15" x14ac:dyDescent="0.3">
      <c r="A10" s="11" t="s">
        <v>30</v>
      </c>
      <c r="B10" s="3">
        <v>0</v>
      </c>
      <c r="C10" s="3">
        <v>0</v>
      </c>
      <c r="D10" s="3">
        <v>0</v>
      </c>
      <c r="E10" s="3">
        <v>0</v>
      </c>
      <c r="G10" s="6"/>
      <c r="H10" s="6"/>
      <c r="I10" s="7"/>
      <c r="J10" s="2" t="s">
        <v>13</v>
      </c>
      <c r="K10" s="3">
        <v>78655.81</v>
      </c>
      <c r="L10" s="3">
        <v>133115.09</v>
      </c>
      <c r="M10" s="3">
        <v>131868.25</v>
      </c>
      <c r="N10" s="3">
        <v>332546.38</v>
      </c>
      <c r="O10" s="3">
        <v>675281.67</v>
      </c>
    </row>
    <row r="11" spans="1:15" x14ac:dyDescent="0.3">
      <c r="A11" s="11" t="s">
        <v>31</v>
      </c>
      <c r="B11" s="3">
        <f>2303070</f>
        <v>2303070</v>
      </c>
      <c r="C11" s="3">
        <f>2303070</f>
        <v>2303070</v>
      </c>
      <c r="D11" s="3">
        <f>2303070</f>
        <v>2303070</v>
      </c>
      <c r="E11" s="3">
        <f>2303070</f>
        <v>2303070</v>
      </c>
      <c r="G11" s="6"/>
      <c r="H11" s="6"/>
      <c r="I11" s="7"/>
      <c r="J11" s="6"/>
      <c r="K11" s="7"/>
      <c r="L11" s="7"/>
      <c r="M11" s="7"/>
      <c r="N11" s="7"/>
      <c r="O11" s="7"/>
    </row>
    <row r="12" spans="1:15" x14ac:dyDescent="0.3">
      <c r="A12" s="11" t="s">
        <v>36</v>
      </c>
      <c r="B12" s="3">
        <f>6699.25976171698</f>
        <v>6699.2597617169804</v>
      </c>
      <c r="C12" s="3">
        <f>2159.95</f>
        <v>2159.9499999999998</v>
      </c>
      <c r="D12" s="3">
        <f>2226.84</f>
        <v>2226.84</v>
      </c>
      <c r="E12" s="3">
        <f>9314.89</f>
        <v>9314.89</v>
      </c>
      <c r="G12" s="6"/>
      <c r="H12" s="6"/>
      <c r="I12" s="7"/>
      <c r="J12" s="6"/>
      <c r="K12" s="7"/>
      <c r="L12" s="7"/>
      <c r="M12" s="7"/>
      <c r="N12" s="7"/>
      <c r="O12" s="7"/>
    </row>
    <row r="13" spans="1:15" x14ac:dyDescent="0.3">
      <c r="A13" s="11" t="s">
        <v>37</v>
      </c>
      <c r="B13" s="20">
        <v>0</v>
      </c>
      <c r="C13" s="20">
        <v>0</v>
      </c>
      <c r="D13" s="20">
        <v>0</v>
      </c>
      <c r="E13" s="20">
        <v>0</v>
      </c>
      <c r="G13" s="6"/>
      <c r="H13" s="6"/>
      <c r="I13" s="7"/>
      <c r="J13" s="6"/>
      <c r="K13" s="7"/>
      <c r="L13" s="7"/>
      <c r="M13" s="7"/>
      <c r="N13" s="7"/>
      <c r="O13" s="7"/>
    </row>
    <row r="14" spans="1:15" x14ac:dyDescent="0.3">
      <c r="B14" s="21"/>
      <c r="C14" s="4"/>
      <c r="D14" s="4"/>
      <c r="E14" s="4"/>
      <c r="G14" s="6"/>
      <c r="H14" s="6"/>
      <c r="I14" s="7"/>
      <c r="J14" s="6"/>
      <c r="K14" s="7"/>
      <c r="L14" s="7"/>
      <c r="M14" s="7"/>
      <c r="N14" s="7"/>
      <c r="O14" s="7"/>
    </row>
    <row r="15" spans="1:15" ht="15" thickBot="1" x14ac:dyDescent="0.35">
      <c r="A15" s="8"/>
      <c r="B15" s="9"/>
      <c r="C15" s="9"/>
      <c r="D15" s="9"/>
      <c r="E15" s="9"/>
      <c r="G15" s="6"/>
      <c r="H15" s="6"/>
      <c r="I15" s="7"/>
      <c r="J15" s="6"/>
      <c r="K15" s="7"/>
      <c r="L15" s="7"/>
      <c r="M15" s="7"/>
      <c r="N15" s="7"/>
      <c r="O15" s="7"/>
    </row>
    <row r="16" spans="1:15" x14ac:dyDescent="0.3">
      <c r="A16" s="13" t="s">
        <v>32</v>
      </c>
      <c r="B16" s="41" t="s">
        <v>16</v>
      </c>
      <c r="C16" s="41"/>
      <c r="D16" s="41"/>
      <c r="E16" s="42"/>
      <c r="G16" s="2" t="s">
        <v>19</v>
      </c>
      <c r="H16" s="5" t="s">
        <v>34</v>
      </c>
      <c r="I16" s="7"/>
      <c r="J16" s="7"/>
    </row>
    <row r="17" spans="1:10" ht="15" thickBot="1" x14ac:dyDescent="0.35">
      <c r="A17" s="14" t="s">
        <v>18</v>
      </c>
      <c r="B17" s="15">
        <v>12</v>
      </c>
      <c r="C17" s="15">
        <v>52</v>
      </c>
      <c r="D17" s="15">
        <v>365</v>
      </c>
      <c r="E17" s="16">
        <v>8760</v>
      </c>
      <c r="G17" s="2" t="s">
        <v>20</v>
      </c>
      <c r="H17" s="5">
        <v>100</v>
      </c>
      <c r="I17" s="7"/>
      <c r="J17" s="7"/>
    </row>
    <row r="18" spans="1:10" x14ac:dyDescent="0.3">
      <c r="A18" s="12" t="s">
        <v>17</v>
      </c>
      <c r="B18" s="19">
        <f>55817022</f>
        <v>55817022</v>
      </c>
      <c r="C18" s="19">
        <f>55762842</f>
        <v>55762842</v>
      </c>
      <c r="D18" s="19">
        <f>55765500</f>
        <v>55765500</v>
      </c>
      <c r="E18" s="19">
        <f>55845949</f>
        <v>55845949</v>
      </c>
      <c r="G18" s="2" t="s">
        <v>21</v>
      </c>
      <c r="H18" s="5" t="s">
        <v>25</v>
      </c>
      <c r="I18" s="7"/>
      <c r="J18" s="7"/>
    </row>
    <row r="19" spans="1:10" x14ac:dyDescent="0.3">
      <c r="A19" s="2" t="s">
        <v>6</v>
      </c>
      <c r="B19" s="20">
        <v>3832.8957</v>
      </c>
      <c r="C19" s="20">
        <v>3832.8957</v>
      </c>
      <c r="D19" s="20">
        <v>3832.9</v>
      </c>
      <c r="E19" s="20">
        <f>3832.8957</f>
        <v>3832.8957</v>
      </c>
      <c r="G19" s="2" t="s">
        <v>22</v>
      </c>
      <c r="H19" s="10">
        <v>0</v>
      </c>
      <c r="I19" s="7"/>
      <c r="J19" s="7"/>
    </row>
    <row r="20" spans="1:10" x14ac:dyDescent="0.3">
      <c r="A20" s="2" t="s">
        <v>8</v>
      </c>
      <c r="B20" s="20">
        <v>338.93112190067097</v>
      </c>
      <c r="C20" s="20">
        <f>338.93112190067</f>
        <v>338.93112190067001</v>
      </c>
      <c r="D20" s="20">
        <f>338.931</f>
        <v>338.93099999999998</v>
      </c>
      <c r="E20" s="20">
        <f>338.931121900677</f>
        <v>338.931121900677</v>
      </c>
      <c r="G20" s="11" t="s">
        <v>23</v>
      </c>
      <c r="H20" s="5" t="s">
        <v>27</v>
      </c>
      <c r="I20" s="7"/>
      <c r="J20" s="7"/>
    </row>
    <row r="21" spans="1:10" x14ac:dyDescent="0.3">
      <c r="A21" s="2" t="s">
        <v>7</v>
      </c>
      <c r="B21" s="20">
        <v>732.07352294357099</v>
      </c>
      <c r="C21" s="20">
        <f>732.073522943586</f>
        <v>732.073522943586</v>
      </c>
      <c r="D21" s="20">
        <f>732.074</f>
        <v>732.07399999999996</v>
      </c>
      <c r="E21" s="20">
        <f>732.073522943604</f>
        <v>732.07352294360396</v>
      </c>
      <c r="G21" s="11" t="s">
        <v>24</v>
      </c>
      <c r="H21" s="10" t="s">
        <v>28</v>
      </c>
      <c r="I21" s="7"/>
      <c r="J21" s="7"/>
    </row>
    <row r="22" spans="1:10" x14ac:dyDescent="0.3">
      <c r="A22" s="2" t="s">
        <v>9</v>
      </c>
      <c r="B22" s="20">
        <v>0</v>
      </c>
      <c r="C22" s="20">
        <v>0</v>
      </c>
      <c r="D22" s="20">
        <v>0</v>
      </c>
      <c r="E22" s="20">
        <v>0</v>
      </c>
      <c r="G22" s="6"/>
      <c r="H22" s="6"/>
      <c r="I22" s="7"/>
      <c r="J22" s="7"/>
    </row>
    <row r="23" spans="1:10" x14ac:dyDescent="0.3">
      <c r="A23" s="2" t="s">
        <v>11</v>
      </c>
      <c r="B23" s="3">
        <f>2984475</f>
        <v>2984475</v>
      </c>
      <c r="C23" s="3">
        <f>2984475</f>
        <v>2984475</v>
      </c>
      <c r="D23" s="3">
        <f>2984475</f>
        <v>2984475</v>
      </c>
      <c r="E23" s="3">
        <f>2984475</f>
        <v>2984475</v>
      </c>
      <c r="G23" s="6"/>
      <c r="H23" s="6"/>
      <c r="I23" s="6"/>
      <c r="J23" s="6"/>
    </row>
    <row r="24" spans="1:10" x14ac:dyDescent="0.3">
      <c r="A24" s="11" t="s">
        <v>29</v>
      </c>
      <c r="B24" s="3">
        <f>77249.9423244</f>
        <v>77249.942324400006</v>
      </c>
      <c r="C24" s="3">
        <f>23070.20703986</f>
        <v>23070.207039860001</v>
      </c>
      <c r="D24" s="3">
        <f>25764</f>
        <v>25764</v>
      </c>
      <c r="E24" s="3">
        <f>106177.0948722</f>
        <v>106177.0948722</v>
      </c>
    </row>
    <row r="25" spans="1:10" x14ac:dyDescent="0.3">
      <c r="A25" s="11" t="s">
        <v>30</v>
      </c>
      <c r="B25" s="3">
        <f>77249.9423244</f>
        <v>77249.942324400006</v>
      </c>
      <c r="C25" s="3">
        <f>23070.20703986</f>
        <v>23070.207039860001</v>
      </c>
      <c r="D25" s="3">
        <f>25764.02263707</f>
        <v>25764.02263707</v>
      </c>
      <c r="E25" s="3">
        <f>106177.0948722</f>
        <v>106177.0948722</v>
      </c>
    </row>
    <row r="26" spans="1:10" x14ac:dyDescent="0.3">
      <c r="A26" s="11" t="s">
        <v>31</v>
      </c>
      <c r="B26" s="3">
        <f>2303072.32</f>
        <v>2303072.3199999998</v>
      </c>
      <c r="C26" s="3">
        <f>2303072.32</f>
        <v>2303072.3199999998</v>
      </c>
      <c r="D26" s="3">
        <f>2303070</f>
        <v>2303070</v>
      </c>
      <c r="E26" s="3">
        <f>2303072.32</f>
        <v>2303072.3199999998</v>
      </c>
    </row>
    <row r="27" spans="1:10" x14ac:dyDescent="0.3">
      <c r="A27" s="11" t="s">
        <v>36</v>
      </c>
      <c r="B27" s="3">
        <v>0</v>
      </c>
      <c r="C27" s="3">
        <v>0</v>
      </c>
      <c r="D27" s="3">
        <v>0</v>
      </c>
      <c r="E27" s="3">
        <v>0</v>
      </c>
    </row>
    <row r="28" spans="1:10" x14ac:dyDescent="0.3">
      <c r="A28" s="11" t="s">
        <v>37</v>
      </c>
      <c r="B28" s="20">
        <v>202.25646999999901</v>
      </c>
      <c r="C28" s="20">
        <v>465.53266999999897</v>
      </c>
      <c r="D28" s="20">
        <f>3205.51</f>
        <v>3205.51</v>
      </c>
      <c r="E28" s="24">
        <f>153071.522779999</f>
        <v>153071.52277999901</v>
      </c>
    </row>
    <row r="29" spans="1:10" x14ac:dyDescent="0.3">
      <c r="A29" s="6"/>
      <c r="B29" s="7"/>
      <c r="C29" s="7"/>
      <c r="D29" s="7"/>
      <c r="E29" s="7"/>
      <c r="G29" s="6"/>
      <c r="H29" s="6"/>
      <c r="I29" s="7"/>
      <c r="J29" s="6"/>
    </row>
    <row r="30" spans="1:10" ht="15" thickBot="1" x14ac:dyDescent="0.35">
      <c r="G30" s="6"/>
      <c r="H30" s="6"/>
      <c r="I30" s="6"/>
      <c r="J30" s="6"/>
    </row>
    <row r="31" spans="1:10" x14ac:dyDescent="0.3">
      <c r="A31" s="13" t="s">
        <v>32</v>
      </c>
      <c r="B31" s="41" t="s">
        <v>16</v>
      </c>
      <c r="C31" s="41"/>
      <c r="D31" s="41"/>
      <c r="E31" s="42"/>
      <c r="G31" s="2" t="s">
        <v>19</v>
      </c>
      <c r="H31" s="5" t="s">
        <v>35</v>
      </c>
    </row>
    <row r="32" spans="1:10" ht="15" thickBot="1" x14ac:dyDescent="0.35">
      <c r="A32" s="14" t="s">
        <v>18</v>
      </c>
      <c r="B32" s="15">
        <v>12</v>
      </c>
      <c r="C32" s="15">
        <v>52</v>
      </c>
      <c r="D32" s="15">
        <v>365</v>
      </c>
      <c r="E32" s="16">
        <v>8760</v>
      </c>
      <c r="G32" s="2" t="s">
        <v>20</v>
      </c>
      <c r="H32" s="5">
        <v>100</v>
      </c>
    </row>
    <row r="33" spans="1:8" x14ac:dyDescent="0.3">
      <c r="A33" s="12" t="s">
        <v>17</v>
      </c>
      <c r="B33" s="19">
        <f>55788273</f>
        <v>55788273</v>
      </c>
      <c r="C33" s="19">
        <f>55780227</f>
        <v>55780227</v>
      </c>
      <c r="D33" s="19">
        <f>55782900</f>
        <v>55782900</v>
      </c>
      <c r="E33" s="19">
        <f>55788276</f>
        <v>55788276</v>
      </c>
      <c r="G33" s="2" t="s">
        <v>21</v>
      </c>
      <c r="H33" s="5" t="s">
        <v>25</v>
      </c>
    </row>
    <row r="34" spans="1:8" x14ac:dyDescent="0.3">
      <c r="A34" s="2" t="s">
        <v>6</v>
      </c>
      <c r="B34" s="20">
        <v>3832.8957</v>
      </c>
      <c r="C34" s="20">
        <f>3832.8957</f>
        <v>3832.8957</v>
      </c>
      <c r="D34" s="20">
        <v>3832.8957</v>
      </c>
      <c r="E34" s="20">
        <f>3832.8957</f>
        <v>3832.8957</v>
      </c>
      <c r="G34" s="2" t="s">
        <v>22</v>
      </c>
      <c r="H34" s="10">
        <v>0</v>
      </c>
    </row>
    <row r="35" spans="1:8" x14ac:dyDescent="0.3">
      <c r="A35" s="2" t="s">
        <v>8</v>
      </c>
      <c r="B35" s="20">
        <v>338.93112190066398</v>
      </c>
      <c r="C35" s="20">
        <f>338.93112190067</f>
        <v>338.93112190067001</v>
      </c>
      <c r="D35" s="20">
        <f>338.931121900671</f>
        <v>338.93112190067097</v>
      </c>
      <c r="E35" s="20">
        <f>338.931121900668</f>
        <v>338.93112190066802</v>
      </c>
      <c r="G35" s="11" t="s">
        <v>23</v>
      </c>
      <c r="H35" s="5" t="s">
        <v>27</v>
      </c>
    </row>
    <row r="36" spans="1:8" x14ac:dyDescent="0.3">
      <c r="A36" s="2" t="s">
        <v>7</v>
      </c>
      <c r="B36" s="20">
        <f>732.073522943559</f>
        <v>732.07352294355906</v>
      </c>
      <c r="C36" s="20">
        <f>732.073522943581</f>
        <v>732.073522943581</v>
      </c>
      <c r="D36" s="20">
        <f>732.074</f>
        <v>732.07399999999996</v>
      </c>
      <c r="E36" s="20">
        <f>732.073522943574</f>
        <v>732.07352294357395</v>
      </c>
      <c r="G36" s="11" t="s">
        <v>24</v>
      </c>
      <c r="H36" s="10" t="s">
        <v>28</v>
      </c>
    </row>
    <row r="37" spans="1:8" x14ac:dyDescent="0.3">
      <c r="A37" s="2" t="s">
        <v>9</v>
      </c>
      <c r="B37" s="20">
        <v>80</v>
      </c>
      <c r="C37" s="20">
        <v>80</v>
      </c>
      <c r="D37" s="20">
        <v>80</v>
      </c>
      <c r="E37" s="20">
        <v>80</v>
      </c>
    </row>
    <row r="38" spans="1:8" x14ac:dyDescent="0.3">
      <c r="A38" s="2" t="s">
        <v>11</v>
      </c>
      <c r="B38" s="3">
        <f>3001861</f>
        <v>3001861</v>
      </c>
      <c r="C38" s="3">
        <f>3001861</f>
        <v>3001861</v>
      </c>
      <c r="D38" s="3">
        <f>3001861</f>
        <v>3001861</v>
      </c>
      <c r="E38" s="3">
        <f>3001861</f>
        <v>3001861</v>
      </c>
    </row>
    <row r="39" spans="1:8" x14ac:dyDescent="0.3">
      <c r="A39" s="11" t="s">
        <v>29</v>
      </c>
      <c r="B39" s="3">
        <v>0</v>
      </c>
      <c r="C39" s="3">
        <f>23070.20703986</f>
        <v>23070.207039860001</v>
      </c>
      <c r="D39" s="3">
        <f>25764</f>
        <v>25764</v>
      </c>
      <c r="E39" s="3">
        <v>0</v>
      </c>
    </row>
    <row r="40" spans="1:8" x14ac:dyDescent="0.3">
      <c r="A40" s="11" t="s">
        <v>30</v>
      </c>
      <c r="B40" s="3">
        <v>0</v>
      </c>
      <c r="C40" s="3">
        <f>23070.20703986</f>
        <v>23070.207039860001</v>
      </c>
      <c r="D40" s="3">
        <f>25764</f>
        <v>25764</v>
      </c>
      <c r="E40" s="3">
        <v>0</v>
      </c>
    </row>
    <row r="41" spans="1:8" x14ac:dyDescent="0.3">
      <c r="A41" s="11" t="s">
        <v>31</v>
      </c>
      <c r="B41" s="3">
        <f>2303072.32</f>
        <v>2303072.3199999998</v>
      </c>
      <c r="C41" s="3">
        <f>2303072.32</f>
        <v>2303072.3199999998</v>
      </c>
      <c r="D41" s="3">
        <f>2303070</f>
        <v>2303070</v>
      </c>
      <c r="E41" s="3">
        <f>2303072.32</f>
        <v>2303072.3199999998</v>
      </c>
    </row>
    <row r="42" spans="1:8" x14ac:dyDescent="0.3">
      <c r="A42" s="11" t="s">
        <v>36</v>
      </c>
      <c r="B42" s="3">
        <f>31116.4430906644</f>
        <v>31116.443090664401</v>
      </c>
      <c r="C42" s="3">
        <v>0</v>
      </c>
      <c r="D42" s="3">
        <v>0</v>
      </c>
      <c r="E42" s="3">
        <f>31119.3223202644</f>
        <v>31119.3223202644</v>
      </c>
    </row>
    <row r="43" spans="1:8" x14ac:dyDescent="0.3">
      <c r="A43" s="11" t="s">
        <v>37</v>
      </c>
      <c r="B43" s="20">
        <v>0</v>
      </c>
      <c r="C43" s="20">
        <f>465.532669999999</f>
        <v>465.53266999999897</v>
      </c>
      <c r="D43" s="20">
        <f>3205.50555999999</f>
        <v>3205.5055599999901</v>
      </c>
      <c r="E43" s="20">
        <v>0</v>
      </c>
    </row>
    <row r="44" spans="1:8" x14ac:dyDescent="0.3">
      <c r="A44" s="22"/>
      <c r="B44" s="23"/>
      <c r="C44" s="23"/>
      <c r="D44" s="23"/>
      <c r="E44" s="23"/>
    </row>
    <row r="45" spans="1:8" ht="15" thickBot="1" x14ac:dyDescent="0.35">
      <c r="A45" s="22"/>
      <c r="B45" s="23"/>
      <c r="C45" s="23"/>
      <c r="D45" s="23"/>
      <c r="E45" s="23"/>
    </row>
    <row r="46" spans="1:8" x14ac:dyDescent="0.3">
      <c r="A46" s="13" t="s">
        <v>32</v>
      </c>
      <c r="B46" s="41" t="s">
        <v>16</v>
      </c>
      <c r="C46" s="41"/>
      <c r="D46" s="41"/>
      <c r="E46" s="42"/>
      <c r="G46" s="2" t="s">
        <v>19</v>
      </c>
      <c r="H46" s="2"/>
    </row>
    <row r="47" spans="1:8" ht="15" thickBot="1" x14ac:dyDescent="0.35">
      <c r="A47" s="14" t="s">
        <v>18</v>
      </c>
      <c r="B47" s="15">
        <v>12</v>
      </c>
      <c r="C47" s="15">
        <v>52</v>
      </c>
      <c r="D47" s="15">
        <v>365</v>
      </c>
      <c r="E47" s="16">
        <v>8760</v>
      </c>
      <c r="G47" s="2" t="s">
        <v>20</v>
      </c>
      <c r="H47" s="5">
        <v>50</v>
      </c>
    </row>
    <row r="48" spans="1:8" x14ac:dyDescent="0.3">
      <c r="A48" s="12" t="s">
        <v>17</v>
      </c>
      <c r="B48" s="19"/>
      <c r="C48" s="19"/>
      <c r="D48" s="19"/>
      <c r="E48" s="19"/>
      <c r="G48" s="2" t="s">
        <v>21</v>
      </c>
      <c r="H48" s="5" t="s">
        <v>25</v>
      </c>
    </row>
    <row r="49" spans="1:8" x14ac:dyDescent="0.3">
      <c r="A49" s="2" t="s">
        <v>6</v>
      </c>
      <c r="B49" s="20"/>
      <c r="C49" s="20"/>
      <c r="D49" s="20"/>
      <c r="E49" s="20"/>
      <c r="G49" s="2" t="s">
        <v>22</v>
      </c>
      <c r="H49" s="10">
        <v>0</v>
      </c>
    </row>
    <row r="50" spans="1:8" x14ac:dyDescent="0.3">
      <c r="A50" s="2" t="s">
        <v>8</v>
      </c>
      <c r="B50" s="20"/>
      <c r="C50" s="20"/>
      <c r="D50" s="20"/>
      <c r="E50" s="20"/>
      <c r="G50" s="11" t="s">
        <v>23</v>
      </c>
      <c r="H50" s="5" t="s">
        <v>26</v>
      </c>
    </row>
    <row r="51" spans="1:8" x14ac:dyDescent="0.3">
      <c r="A51" s="2" t="s">
        <v>7</v>
      </c>
      <c r="B51" s="20"/>
      <c r="C51" s="20"/>
      <c r="D51" s="20"/>
      <c r="E51" s="20"/>
      <c r="G51" s="11" t="s">
        <v>24</v>
      </c>
      <c r="H51" s="10">
        <v>0</v>
      </c>
    </row>
    <row r="52" spans="1:8" x14ac:dyDescent="0.3">
      <c r="A52" s="2" t="s">
        <v>9</v>
      </c>
      <c r="B52" s="20"/>
      <c r="C52" s="20"/>
      <c r="D52" s="20"/>
      <c r="E52" s="20"/>
      <c r="G52" s="6"/>
      <c r="H52" s="6"/>
    </row>
    <row r="53" spans="1:8" x14ac:dyDescent="0.3">
      <c r="A53" s="2" t="s">
        <v>11</v>
      </c>
      <c r="B53" s="3"/>
      <c r="C53" s="3"/>
      <c r="D53" s="3"/>
      <c r="E53" s="3"/>
      <c r="G53" s="6"/>
      <c r="H53" s="6"/>
    </row>
    <row r="54" spans="1:8" x14ac:dyDescent="0.3">
      <c r="A54" s="11" t="s">
        <v>29</v>
      </c>
      <c r="B54" s="3"/>
      <c r="C54" s="3"/>
      <c r="D54" s="3"/>
      <c r="E54" s="3"/>
    </row>
    <row r="55" spans="1:8" x14ac:dyDescent="0.3">
      <c r="A55" s="11" t="s">
        <v>30</v>
      </c>
      <c r="B55" s="3"/>
      <c r="C55" s="3"/>
      <c r="D55" s="3"/>
      <c r="E55" s="3"/>
    </row>
    <row r="56" spans="1:8" x14ac:dyDescent="0.3">
      <c r="A56" s="11" t="s">
        <v>31</v>
      </c>
      <c r="B56" s="3"/>
      <c r="C56" s="3"/>
      <c r="D56" s="3"/>
      <c r="E56" s="3"/>
    </row>
    <row r="57" spans="1:8" x14ac:dyDescent="0.3">
      <c r="A57" s="11" t="s">
        <v>36</v>
      </c>
      <c r="B57" s="3"/>
      <c r="C57" s="3"/>
      <c r="D57" s="3"/>
      <c r="E57" s="3"/>
    </row>
    <row r="58" spans="1:8" x14ac:dyDescent="0.3">
      <c r="A58" s="11" t="s">
        <v>37</v>
      </c>
      <c r="B58" s="20"/>
      <c r="C58" s="20"/>
      <c r="D58" s="20"/>
      <c r="E58" s="20"/>
    </row>
    <row r="60" spans="1:8" ht="15" thickBot="1" x14ac:dyDescent="0.35"/>
    <row r="61" spans="1:8" x14ac:dyDescent="0.3">
      <c r="A61" s="13" t="s">
        <v>32</v>
      </c>
      <c r="B61" s="41" t="s">
        <v>16</v>
      </c>
      <c r="C61" s="41"/>
      <c r="D61" s="41"/>
      <c r="E61" s="42"/>
      <c r="G61" s="2" t="s">
        <v>19</v>
      </c>
      <c r="H61" s="2"/>
    </row>
    <row r="62" spans="1:8" ht="15" thickBot="1" x14ac:dyDescent="0.35">
      <c r="A62" s="14" t="s">
        <v>18</v>
      </c>
      <c r="B62" s="15">
        <v>12</v>
      </c>
      <c r="C62" s="15">
        <v>52</v>
      </c>
      <c r="D62" s="15">
        <v>365</v>
      </c>
      <c r="E62" s="16">
        <v>8760</v>
      </c>
      <c r="G62" s="2" t="s">
        <v>20</v>
      </c>
      <c r="H62" s="5">
        <v>150</v>
      </c>
    </row>
    <row r="63" spans="1:8" x14ac:dyDescent="0.3">
      <c r="A63" s="12" t="s">
        <v>17</v>
      </c>
      <c r="B63" s="19"/>
      <c r="C63" s="19"/>
      <c r="D63" s="19"/>
      <c r="E63" s="19"/>
      <c r="G63" s="2" t="s">
        <v>21</v>
      </c>
      <c r="H63" s="5" t="s">
        <v>25</v>
      </c>
    </row>
    <row r="64" spans="1:8" x14ac:dyDescent="0.3">
      <c r="A64" s="2" t="s">
        <v>6</v>
      </c>
      <c r="B64" s="20"/>
      <c r="C64" s="20"/>
      <c r="D64" s="20"/>
      <c r="E64" s="20"/>
      <c r="G64" s="2" t="s">
        <v>22</v>
      </c>
      <c r="H64" s="10">
        <v>0</v>
      </c>
    </row>
    <row r="65" spans="1:8" x14ac:dyDescent="0.3">
      <c r="A65" s="2" t="s">
        <v>8</v>
      </c>
      <c r="B65" s="20"/>
      <c r="C65" s="20"/>
      <c r="D65" s="20"/>
      <c r="E65" s="20"/>
      <c r="G65" s="11" t="s">
        <v>23</v>
      </c>
      <c r="H65" s="5" t="s">
        <v>26</v>
      </c>
    </row>
    <row r="66" spans="1:8" x14ac:dyDescent="0.3">
      <c r="A66" s="2" t="s">
        <v>7</v>
      </c>
      <c r="B66" s="20"/>
      <c r="C66" s="20"/>
      <c r="D66" s="20"/>
      <c r="E66" s="20"/>
      <c r="G66" s="11" t="s">
        <v>24</v>
      </c>
      <c r="H66" s="10">
        <v>0</v>
      </c>
    </row>
    <row r="67" spans="1:8" x14ac:dyDescent="0.3">
      <c r="A67" s="2" t="s">
        <v>9</v>
      </c>
      <c r="B67" s="20"/>
      <c r="C67" s="20"/>
      <c r="D67" s="20"/>
      <c r="E67" s="20"/>
      <c r="G67" s="6"/>
      <c r="H67" s="6"/>
    </row>
    <row r="68" spans="1:8" x14ac:dyDescent="0.3">
      <c r="A68" s="2" t="s">
        <v>11</v>
      </c>
      <c r="B68" s="3"/>
      <c r="C68" s="3"/>
      <c r="D68" s="3"/>
      <c r="E68" s="3"/>
      <c r="G68" s="6"/>
      <c r="H68" s="6"/>
    </row>
    <row r="69" spans="1:8" x14ac:dyDescent="0.3">
      <c r="A69" s="11" t="s">
        <v>29</v>
      </c>
      <c r="B69" s="3"/>
      <c r="C69" s="3"/>
      <c r="D69" s="3"/>
      <c r="E69" s="3"/>
    </row>
    <row r="70" spans="1:8" x14ac:dyDescent="0.3">
      <c r="A70" s="11" t="s">
        <v>30</v>
      </c>
      <c r="B70" s="3"/>
      <c r="C70" s="3"/>
      <c r="D70" s="3"/>
      <c r="E70" s="3"/>
    </row>
    <row r="71" spans="1:8" x14ac:dyDescent="0.3">
      <c r="A71" s="11" t="s">
        <v>31</v>
      </c>
      <c r="B71" s="3"/>
      <c r="C71" s="3"/>
      <c r="D71" s="3"/>
      <c r="E71" s="3"/>
    </row>
    <row r="72" spans="1:8" x14ac:dyDescent="0.3">
      <c r="A72" s="11" t="s">
        <v>36</v>
      </c>
      <c r="B72" s="3"/>
      <c r="C72" s="3"/>
      <c r="D72" s="3"/>
      <c r="E72" s="3"/>
    </row>
    <row r="73" spans="1:8" x14ac:dyDescent="0.3">
      <c r="A73" s="11" t="s">
        <v>37</v>
      </c>
      <c r="B73" s="20"/>
      <c r="C73" s="20"/>
      <c r="D73" s="20"/>
      <c r="E73" s="20"/>
    </row>
    <row r="75" spans="1:8" ht="15" thickBot="1" x14ac:dyDescent="0.35"/>
    <row r="76" spans="1:8" x14ac:dyDescent="0.3">
      <c r="A76" s="13" t="s">
        <v>32</v>
      </c>
      <c r="B76" s="41" t="s">
        <v>16</v>
      </c>
      <c r="C76" s="41"/>
      <c r="D76" s="41"/>
      <c r="E76" s="42"/>
      <c r="G76" s="2" t="s">
        <v>19</v>
      </c>
      <c r="H76" s="2"/>
    </row>
    <row r="77" spans="1:8" ht="15" thickBot="1" x14ac:dyDescent="0.35">
      <c r="A77" s="14" t="s">
        <v>18</v>
      </c>
      <c r="B77" s="15">
        <v>12</v>
      </c>
      <c r="C77" s="15">
        <v>52</v>
      </c>
      <c r="D77" s="15">
        <v>365</v>
      </c>
      <c r="E77" s="16">
        <v>8760</v>
      </c>
      <c r="G77" s="2" t="s">
        <v>20</v>
      </c>
      <c r="H77" s="5">
        <v>100</v>
      </c>
    </row>
    <row r="78" spans="1:8" x14ac:dyDescent="0.3">
      <c r="A78" s="12" t="s">
        <v>17</v>
      </c>
      <c r="B78" s="19"/>
      <c r="C78" s="19"/>
      <c r="D78" s="19"/>
      <c r="E78" s="19"/>
      <c r="G78" s="2" t="s">
        <v>21</v>
      </c>
      <c r="H78" s="5">
        <v>0.15</v>
      </c>
    </row>
    <row r="79" spans="1:8" x14ac:dyDescent="0.3">
      <c r="A79" s="2" t="s">
        <v>6</v>
      </c>
      <c r="B79" s="20"/>
      <c r="C79" s="20"/>
      <c r="D79" s="20"/>
      <c r="E79" s="20"/>
      <c r="G79" s="2" t="s">
        <v>22</v>
      </c>
      <c r="H79" s="10">
        <v>0</v>
      </c>
    </row>
    <row r="80" spans="1:8" x14ac:dyDescent="0.3">
      <c r="A80" s="2" t="s">
        <v>8</v>
      </c>
      <c r="B80" s="20"/>
      <c r="C80" s="20"/>
      <c r="D80" s="20"/>
      <c r="E80" s="20"/>
      <c r="G80" s="11" t="s">
        <v>23</v>
      </c>
      <c r="H80" s="5" t="s">
        <v>26</v>
      </c>
    </row>
    <row r="81" spans="1:8" x14ac:dyDescent="0.3">
      <c r="A81" s="2" t="s">
        <v>7</v>
      </c>
      <c r="B81" s="20"/>
      <c r="C81" s="20"/>
      <c r="D81" s="20"/>
      <c r="E81" s="20"/>
      <c r="G81" s="11" t="s">
        <v>24</v>
      </c>
      <c r="H81" s="10">
        <v>0</v>
      </c>
    </row>
    <row r="82" spans="1:8" x14ac:dyDescent="0.3">
      <c r="A82" s="2" t="s">
        <v>9</v>
      </c>
      <c r="B82" s="20"/>
      <c r="C82" s="20"/>
      <c r="D82" s="20"/>
      <c r="E82" s="20"/>
      <c r="G82" s="6"/>
      <c r="H82" s="6"/>
    </row>
    <row r="83" spans="1:8" x14ac:dyDescent="0.3">
      <c r="A83" s="2" t="s">
        <v>11</v>
      </c>
      <c r="B83" s="3"/>
      <c r="C83" s="3"/>
      <c r="D83" s="3"/>
      <c r="E83" s="3"/>
      <c r="G83" s="6"/>
      <c r="H83" s="6"/>
    </row>
    <row r="84" spans="1:8" x14ac:dyDescent="0.3">
      <c r="A84" s="11" t="s">
        <v>29</v>
      </c>
      <c r="B84" s="3"/>
      <c r="C84" s="3"/>
      <c r="D84" s="3"/>
      <c r="E84" s="3"/>
    </row>
    <row r="85" spans="1:8" x14ac:dyDescent="0.3">
      <c r="A85" s="11" t="s">
        <v>30</v>
      </c>
      <c r="B85" s="3"/>
      <c r="C85" s="3"/>
      <c r="D85" s="3"/>
      <c r="E85" s="3"/>
    </row>
    <row r="86" spans="1:8" x14ac:dyDescent="0.3">
      <c r="A86" s="11" t="s">
        <v>31</v>
      </c>
      <c r="B86" s="3"/>
      <c r="C86" s="3"/>
      <c r="D86" s="3"/>
      <c r="E86" s="3"/>
    </row>
    <row r="87" spans="1:8" x14ac:dyDescent="0.3">
      <c r="A87" s="11" t="s">
        <v>36</v>
      </c>
      <c r="B87" s="3"/>
      <c r="C87" s="3"/>
      <c r="D87" s="3"/>
      <c r="E87" s="3"/>
    </row>
    <row r="88" spans="1:8" x14ac:dyDescent="0.3">
      <c r="A88" s="11" t="s">
        <v>37</v>
      </c>
      <c r="B88" s="20"/>
      <c r="C88" s="20"/>
      <c r="D88" s="20"/>
      <c r="E88" s="20"/>
    </row>
    <row r="90" spans="1:8" ht="15" thickBot="1" x14ac:dyDescent="0.35"/>
    <row r="91" spans="1:8" x14ac:dyDescent="0.3">
      <c r="A91" s="13" t="s">
        <v>32</v>
      </c>
      <c r="B91" s="41" t="s">
        <v>16</v>
      </c>
      <c r="C91" s="41"/>
      <c r="D91" s="41"/>
      <c r="E91" s="42"/>
      <c r="G91" s="2" t="s">
        <v>19</v>
      </c>
      <c r="H91" s="2"/>
    </row>
    <row r="92" spans="1:8" ht="15" thickBot="1" x14ac:dyDescent="0.35">
      <c r="A92" s="14" t="s">
        <v>18</v>
      </c>
      <c r="B92" s="15">
        <v>12</v>
      </c>
      <c r="C92" s="15">
        <v>52</v>
      </c>
      <c r="D92" s="15">
        <v>365</v>
      </c>
      <c r="E92" s="16">
        <v>8760</v>
      </c>
      <c r="G92" s="2" t="s">
        <v>20</v>
      </c>
      <c r="H92" s="5">
        <v>100</v>
      </c>
    </row>
    <row r="93" spans="1:8" x14ac:dyDescent="0.3">
      <c r="A93" s="12" t="s">
        <v>17</v>
      </c>
      <c r="B93" s="19"/>
      <c r="C93" s="19"/>
      <c r="D93" s="19"/>
      <c r="E93" s="19"/>
      <c r="G93" s="2" t="s">
        <v>21</v>
      </c>
      <c r="H93" s="17">
        <v>0.5</v>
      </c>
    </row>
    <row r="94" spans="1:8" x14ac:dyDescent="0.3">
      <c r="A94" s="2" t="s">
        <v>6</v>
      </c>
      <c r="B94" s="20"/>
      <c r="C94" s="20"/>
      <c r="D94" s="20"/>
      <c r="E94" s="20"/>
      <c r="G94" s="2" t="s">
        <v>22</v>
      </c>
      <c r="H94" s="10">
        <v>0</v>
      </c>
    </row>
    <row r="95" spans="1:8" x14ac:dyDescent="0.3">
      <c r="A95" s="2" t="s">
        <v>8</v>
      </c>
      <c r="B95" s="20"/>
      <c r="C95" s="20"/>
      <c r="D95" s="20"/>
      <c r="E95" s="20"/>
      <c r="G95" s="11" t="s">
        <v>23</v>
      </c>
      <c r="H95" s="5" t="s">
        <v>26</v>
      </c>
    </row>
    <row r="96" spans="1:8" x14ac:dyDescent="0.3">
      <c r="A96" s="2" t="s">
        <v>7</v>
      </c>
      <c r="B96" s="20"/>
      <c r="C96" s="20"/>
      <c r="D96" s="20"/>
      <c r="E96" s="20"/>
      <c r="G96" s="11" t="s">
        <v>24</v>
      </c>
      <c r="H96" s="10">
        <v>0</v>
      </c>
    </row>
    <row r="97" spans="1:8" x14ac:dyDescent="0.3">
      <c r="A97" s="2" t="s">
        <v>9</v>
      </c>
      <c r="B97" s="20"/>
      <c r="C97" s="20"/>
      <c r="D97" s="20"/>
      <c r="E97" s="20"/>
      <c r="G97" s="6"/>
      <c r="H97" s="6"/>
    </row>
    <row r="98" spans="1:8" x14ac:dyDescent="0.3">
      <c r="A98" s="2" t="s">
        <v>11</v>
      </c>
      <c r="B98" s="3"/>
      <c r="C98" s="3"/>
      <c r="D98" s="3"/>
      <c r="E98" s="3"/>
      <c r="G98" s="6"/>
      <c r="H98" s="6"/>
    </row>
    <row r="99" spans="1:8" x14ac:dyDescent="0.3">
      <c r="A99" s="11" t="s">
        <v>29</v>
      </c>
      <c r="B99" s="3"/>
      <c r="C99" s="3"/>
      <c r="D99" s="3"/>
      <c r="E99" s="3"/>
    </row>
    <row r="100" spans="1:8" x14ac:dyDescent="0.3">
      <c r="A100" s="11" t="s">
        <v>30</v>
      </c>
      <c r="B100" s="3"/>
      <c r="C100" s="3"/>
      <c r="D100" s="3"/>
      <c r="E100" s="3"/>
    </row>
    <row r="101" spans="1:8" x14ac:dyDescent="0.3">
      <c r="A101" s="11" t="s">
        <v>31</v>
      </c>
      <c r="B101" s="3"/>
      <c r="C101" s="3"/>
      <c r="D101" s="3"/>
      <c r="E101" s="3"/>
    </row>
    <row r="102" spans="1:8" x14ac:dyDescent="0.3">
      <c r="A102" s="11" t="s">
        <v>36</v>
      </c>
      <c r="B102" s="3"/>
      <c r="C102" s="3"/>
      <c r="D102" s="3"/>
      <c r="E102" s="3"/>
    </row>
    <row r="103" spans="1:8" x14ac:dyDescent="0.3">
      <c r="A103" s="11" t="s">
        <v>37</v>
      </c>
      <c r="B103" s="20"/>
      <c r="C103" s="20"/>
      <c r="D103" s="20"/>
      <c r="E103" s="20"/>
    </row>
    <row r="105" spans="1:8" ht="15" thickBot="1" x14ac:dyDescent="0.35"/>
    <row r="106" spans="1:8" x14ac:dyDescent="0.3">
      <c r="A106" s="13" t="s">
        <v>32</v>
      </c>
      <c r="B106" s="41" t="s">
        <v>16</v>
      </c>
      <c r="C106" s="41"/>
      <c r="D106" s="41"/>
      <c r="E106" s="42"/>
      <c r="G106" s="2" t="s">
        <v>19</v>
      </c>
      <c r="H106" s="2"/>
    </row>
    <row r="107" spans="1:8" ht="15" thickBot="1" x14ac:dyDescent="0.35">
      <c r="A107" s="14" t="s">
        <v>18</v>
      </c>
      <c r="B107" s="15">
        <v>12</v>
      </c>
      <c r="C107" s="15">
        <v>52</v>
      </c>
      <c r="D107" s="15">
        <v>365</v>
      </c>
      <c r="E107" s="16">
        <v>8760</v>
      </c>
      <c r="G107" s="2" t="s">
        <v>20</v>
      </c>
      <c r="H107" s="5">
        <v>100</v>
      </c>
    </row>
    <row r="108" spans="1:8" x14ac:dyDescent="0.3">
      <c r="A108" s="12" t="s">
        <v>17</v>
      </c>
      <c r="B108" s="19"/>
      <c r="C108" s="19"/>
      <c r="D108" s="19"/>
      <c r="E108" s="19"/>
      <c r="G108" s="2" t="s">
        <v>21</v>
      </c>
      <c r="H108" s="17" t="s">
        <v>25</v>
      </c>
    </row>
    <row r="109" spans="1:8" x14ac:dyDescent="0.3">
      <c r="A109" s="2" t="s">
        <v>6</v>
      </c>
      <c r="B109" s="20"/>
      <c r="C109" s="20"/>
      <c r="D109" s="20"/>
      <c r="E109" s="20"/>
      <c r="G109" s="2" t="s">
        <v>22</v>
      </c>
      <c r="H109" s="18">
        <v>0.25</v>
      </c>
    </row>
    <row r="110" spans="1:8" x14ac:dyDescent="0.3">
      <c r="A110" s="2" t="s">
        <v>8</v>
      </c>
      <c r="B110" s="20"/>
      <c r="C110" s="20"/>
      <c r="D110" s="20"/>
      <c r="E110" s="20"/>
      <c r="G110" s="11" t="s">
        <v>23</v>
      </c>
      <c r="H110" s="5" t="s">
        <v>26</v>
      </c>
    </row>
    <row r="111" spans="1:8" x14ac:dyDescent="0.3">
      <c r="A111" s="2" t="s">
        <v>7</v>
      </c>
      <c r="B111" s="20"/>
      <c r="C111" s="20"/>
      <c r="D111" s="20"/>
      <c r="E111" s="20"/>
      <c r="G111" s="11" t="s">
        <v>24</v>
      </c>
      <c r="H111" s="10">
        <v>0</v>
      </c>
    </row>
    <row r="112" spans="1:8" x14ac:dyDescent="0.3">
      <c r="A112" s="2" t="s">
        <v>9</v>
      </c>
      <c r="B112" s="20"/>
      <c r="C112" s="20"/>
      <c r="D112" s="20"/>
      <c r="E112" s="20"/>
      <c r="G112" s="6"/>
      <c r="H112" s="6"/>
    </row>
    <row r="113" spans="1:8" x14ac:dyDescent="0.3">
      <c r="A113" s="2" t="s">
        <v>11</v>
      </c>
      <c r="B113" s="3"/>
      <c r="C113" s="3"/>
      <c r="D113" s="3"/>
      <c r="E113" s="3"/>
      <c r="G113" s="6"/>
      <c r="H113" s="6"/>
    </row>
    <row r="114" spans="1:8" x14ac:dyDescent="0.3">
      <c r="A114" s="11" t="s">
        <v>29</v>
      </c>
      <c r="B114" s="3"/>
      <c r="C114" s="3"/>
      <c r="D114" s="3"/>
      <c r="E114" s="3"/>
    </row>
    <row r="115" spans="1:8" x14ac:dyDescent="0.3">
      <c r="A115" s="11" t="s">
        <v>30</v>
      </c>
      <c r="B115" s="3"/>
      <c r="C115" s="3"/>
      <c r="D115" s="3"/>
      <c r="E115" s="3"/>
    </row>
    <row r="116" spans="1:8" x14ac:dyDescent="0.3">
      <c r="A116" s="11" t="s">
        <v>31</v>
      </c>
      <c r="B116" s="3"/>
      <c r="C116" s="3"/>
      <c r="D116" s="3"/>
      <c r="E116" s="3"/>
    </row>
    <row r="117" spans="1:8" x14ac:dyDescent="0.3">
      <c r="A117" s="11" t="s">
        <v>36</v>
      </c>
      <c r="B117" s="3"/>
      <c r="C117" s="3"/>
      <c r="D117" s="3"/>
      <c r="E117" s="3"/>
    </row>
    <row r="118" spans="1:8" x14ac:dyDescent="0.3">
      <c r="A118" s="11" t="s">
        <v>37</v>
      </c>
      <c r="B118" s="20"/>
      <c r="C118" s="20"/>
      <c r="D118" s="20"/>
      <c r="E118" s="20"/>
    </row>
  </sheetData>
  <mergeCells count="8">
    <mergeCell ref="B106:E106"/>
    <mergeCell ref="B1:E1"/>
    <mergeCell ref="B16:E16"/>
    <mergeCell ref="B46:E46"/>
    <mergeCell ref="B61:E61"/>
    <mergeCell ref="B76:E76"/>
    <mergeCell ref="B91:E91"/>
    <mergeCell ref="B31:E31"/>
  </mergeCells>
  <pageMargins left="0.7" right="0.7" top="0.75" bottom="0.75" header="0.3" footer="0.3"/>
  <pageSetup orientation="portrait" r:id="rId1"/>
  <ignoredErrors>
    <ignoredError sqref="D26 D4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AADC-5E23-4DD8-A00B-73C23DCCA3B6}">
  <dimension ref="B1:O153"/>
  <sheetViews>
    <sheetView tabSelected="1" zoomScaleNormal="100" workbookViewId="0">
      <selection activeCell="E11" sqref="E11"/>
    </sheetView>
  </sheetViews>
  <sheetFormatPr defaultRowHeight="14.4" x14ac:dyDescent="0.3"/>
  <cols>
    <col min="2" max="2" width="34.5546875" customWidth="1"/>
    <col min="3" max="3" width="18.21875" customWidth="1"/>
    <col min="4" max="5" width="18.44140625" customWidth="1"/>
    <col min="7" max="7" width="21.21875" customWidth="1"/>
    <col min="8" max="8" width="21.88671875" customWidth="1"/>
    <col min="9" max="9" width="11" customWidth="1"/>
    <col min="10" max="10" width="30.33203125" customWidth="1"/>
    <col min="11" max="11" width="17.6640625" customWidth="1"/>
    <col min="12" max="12" width="15.21875" customWidth="1"/>
    <col min="13" max="13" width="15.88671875" customWidth="1"/>
    <col min="14" max="14" width="15.6640625" customWidth="1"/>
    <col min="15" max="15" width="17.88671875" customWidth="1"/>
  </cols>
  <sheetData>
    <row r="1" spans="2:15" ht="15" thickBot="1" x14ac:dyDescent="0.35"/>
    <row r="2" spans="2:15" x14ac:dyDescent="0.3">
      <c r="B2" s="25" t="s">
        <v>15</v>
      </c>
      <c r="C2" s="43" t="s">
        <v>52</v>
      </c>
      <c r="D2" s="45"/>
      <c r="E2" s="9"/>
      <c r="G2" s="2" t="s">
        <v>19</v>
      </c>
      <c r="H2" s="5" t="s">
        <v>34</v>
      </c>
      <c r="J2" s="1" t="s">
        <v>14</v>
      </c>
      <c r="K2" s="5" t="s">
        <v>0</v>
      </c>
      <c r="L2" s="5" t="s">
        <v>1</v>
      </c>
      <c r="M2" s="5" t="s">
        <v>2</v>
      </c>
      <c r="N2" s="5" t="s">
        <v>3</v>
      </c>
      <c r="O2" s="5" t="s">
        <v>4</v>
      </c>
    </row>
    <row r="3" spans="2:15" ht="15" thickBot="1" x14ac:dyDescent="0.35">
      <c r="B3" s="26" t="s">
        <v>40</v>
      </c>
      <c r="C3" s="27" t="s">
        <v>53</v>
      </c>
      <c r="D3" s="16" t="s">
        <v>54</v>
      </c>
      <c r="E3" s="9"/>
      <c r="G3" s="2" t="s">
        <v>41</v>
      </c>
      <c r="H3" s="5">
        <v>26</v>
      </c>
      <c r="J3" s="2" t="s">
        <v>5</v>
      </c>
      <c r="K3" s="3">
        <v>406512</v>
      </c>
      <c r="L3" s="3">
        <v>-1951517</v>
      </c>
      <c r="M3" s="3">
        <v>-2618918</v>
      </c>
      <c r="N3" s="3">
        <v>-11295829</v>
      </c>
      <c r="O3" s="3">
        <v>-29634101</v>
      </c>
    </row>
    <row r="4" spans="2:15" x14ac:dyDescent="0.3">
      <c r="B4" s="39" t="s">
        <v>17</v>
      </c>
      <c r="C4" s="19">
        <f>55739772</f>
        <v>55739772</v>
      </c>
      <c r="D4" s="19">
        <f>56829991</f>
        <v>56829991</v>
      </c>
      <c r="E4" s="31"/>
      <c r="G4" s="2" t="s">
        <v>21</v>
      </c>
      <c r="H4" s="5" t="s">
        <v>25</v>
      </c>
      <c r="J4" s="2" t="s">
        <v>6</v>
      </c>
      <c r="K4" s="2">
        <v>3830.7049000000002</v>
      </c>
      <c r="L4" s="2">
        <v>3776.5918000000001</v>
      </c>
      <c r="M4" s="2">
        <v>3907.4016999999999</v>
      </c>
      <c r="N4" s="2">
        <v>4289.3379000000004</v>
      </c>
      <c r="O4" s="2">
        <v>7505.7646000000004</v>
      </c>
    </row>
    <row r="5" spans="2:15" x14ac:dyDescent="0.3">
      <c r="B5" s="2" t="s">
        <v>6</v>
      </c>
      <c r="C5" s="24">
        <f>3832.896</f>
        <v>3832.8960000000002</v>
      </c>
      <c r="D5" s="24">
        <v>3807.3939</v>
      </c>
      <c r="E5" s="23"/>
      <c r="G5" s="2" t="s">
        <v>22</v>
      </c>
      <c r="H5" s="10">
        <v>0</v>
      </c>
      <c r="I5" s="7"/>
      <c r="J5" s="2" t="s">
        <v>7</v>
      </c>
      <c r="K5" s="2">
        <v>675.67219999999998</v>
      </c>
      <c r="L5" s="2">
        <v>1887.3989999999999</v>
      </c>
      <c r="M5" s="2">
        <v>1879.9992</v>
      </c>
      <c r="N5" s="2">
        <v>17951.7657</v>
      </c>
      <c r="O5" s="2">
        <v>42079.477400000003</v>
      </c>
    </row>
    <row r="6" spans="2:15" x14ac:dyDescent="0.3">
      <c r="B6" s="2" t="s">
        <v>60</v>
      </c>
      <c r="C6" s="20">
        <v>0</v>
      </c>
      <c r="D6" s="20">
        <v>16.100000000000001</v>
      </c>
      <c r="E6" s="23"/>
      <c r="G6" s="11" t="s">
        <v>23</v>
      </c>
      <c r="H6" s="5" t="s">
        <v>27</v>
      </c>
      <c r="I6" s="7"/>
      <c r="J6" s="2" t="s">
        <v>8</v>
      </c>
      <c r="K6" s="2">
        <v>325.56330000000003</v>
      </c>
      <c r="L6" s="2">
        <v>1013.8258</v>
      </c>
      <c r="M6" s="2">
        <v>622.40959999999995</v>
      </c>
      <c r="N6" s="2">
        <v>1846.7016000000001</v>
      </c>
      <c r="O6" s="2">
        <v>4112.2006000000001</v>
      </c>
    </row>
    <row r="7" spans="2:15" x14ac:dyDescent="0.3">
      <c r="B7" s="2" t="s">
        <v>8</v>
      </c>
      <c r="C7" s="20">
        <f>338.931</f>
        <v>338.93099999999998</v>
      </c>
      <c r="D7" s="20">
        <f>546.222</f>
        <v>546.22199999999998</v>
      </c>
      <c r="E7" s="23"/>
      <c r="G7" s="11" t="s">
        <v>24</v>
      </c>
      <c r="H7" s="10" t="s">
        <v>28</v>
      </c>
      <c r="I7" s="7"/>
      <c r="J7" s="2" t="s">
        <v>9</v>
      </c>
      <c r="K7" s="2">
        <v>0</v>
      </c>
      <c r="L7" s="2">
        <v>1135.01</v>
      </c>
      <c r="M7" s="2">
        <v>1804.44</v>
      </c>
      <c r="N7" s="2">
        <v>867.76300000000003</v>
      </c>
      <c r="O7" s="2">
        <v>433.553</v>
      </c>
    </row>
    <row r="8" spans="2:15" x14ac:dyDescent="0.3">
      <c r="B8" s="2" t="s">
        <v>7</v>
      </c>
      <c r="C8" s="20">
        <f>732.073</f>
        <v>732.07299999999998</v>
      </c>
      <c r="D8" s="24">
        <f>1984.9</f>
        <v>1984.9</v>
      </c>
      <c r="E8" s="23"/>
      <c r="G8" s="11" t="s">
        <v>42</v>
      </c>
      <c r="H8" s="36" t="s">
        <v>43</v>
      </c>
      <c r="I8" s="7"/>
      <c r="J8" s="2" t="s">
        <v>10</v>
      </c>
      <c r="K8" s="3">
        <v>957519.34</v>
      </c>
      <c r="L8" s="3">
        <v>2525509.13</v>
      </c>
      <c r="M8" s="3">
        <v>2737622.45</v>
      </c>
      <c r="N8" s="3">
        <v>10658929.08</v>
      </c>
      <c r="O8" s="3">
        <v>27624764.870000001</v>
      </c>
    </row>
    <row r="9" spans="2:15" x14ac:dyDescent="0.3">
      <c r="B9" s="2" t="s">
        <v>9</v>
      </c>
      <c r="C9" s="20">
        <v>0</v>
      </c>
      <c r="D9" s="20">
        <v>0</v>
      </c>
      <c r="E9" s="7"/>
      <c r="G9" s="11" t="s">
        <v>56</v>
      </c>
      <c r="H9" s="10" t="s">
        <v>57</v>
      </c>
      <c r="I9" s="7"/>
      <c r="J9" s="2" t="s">
        <v>11</v>
      </c>
      <c r="K9" s="3">
        <v>2915736</v>
      </c>
      <c r="L9" s="3">
        <v>6455919</v>
      </c>
      <c r="M9" s="3">
        <v>7239810</v>
      </c>
      <c r="N9" s="3">
        <v>20856749</v>
      </c>
      <c r="O9" s="3">
        <v>50430082</v>
      </c>
    </row>
    <row r="10" spans="2:15" x14ac:dyDescent="0.3">
      <c r="B10" s="2" t="s">
        <v>11</v>
      </c>
      <c r="C10" s="3">
        <f>2984475</f>
        <v>2984475</v>
      </c>
      <c r="D10" s="3">
        <f>4177807</f>
        <v>4177807</v>
      </c>
      <c r="E10" s="7"/>
      <c r="G10" s="6"/>
      <c r="H10" s="6"/>
      <c r="I10" s="7"/>
      <c r="J10" s="2" t="s">
        <v>12</v>
      </c>
      <c r="K10" s="3">
        <v>12028</v>
      </c>
      <c r="L10" s="3">
        <v>9175.84</v>
      </c>
      <c r="M10" s="3">
        <v>15508.06</v>
      </c>
      <c r="N10" s="3">
        <v>30487.75</v>
      </c>
      <c r="O10" s="3">
        <v>178221.01</v>
      </c>
    </row>
    <row r="11" spans="2:15" x14ac:dyDescent="0.3">
      <c r="B11" s="11" t="s">
        <v>30</v>
      </c>
      <c r="C11" s="3">
        <v>0</v>
      </c>
      <c r="D11" s="3">
        <v>0</v>
      </c>
      <c r="E11" s="7"/>
      <c r="G11" s="6"/>
      <c r="H11" s="6"/>
      <c r="I11" s="7"/>
      <c r="J11" s="2" t="s">
        <v>13</v>
      </c>
      <c r="K11" s="3">
        <v>78655.81</v>
      </c>
      <c r="L11" s="3">
        <v>133115.09</v>
      </c>
      <c r="M11" s="3">
        <v>131868.25</v>
      </c>
      <c r="N11" s="3">
        <v>332546.38</v>
      </c>
      <c r="O11" s="3">
        <v>675281.67</v>
      </c>
    </row>
    <row r="12" spans="2:15" x14ac:dyDescent="0.3">
      <c r="B12" s="11" t="s">
        <v>31</v>
      </c>
      <c r="C12" s="3">
        <f>2303072.32</f>
        <v>2303072.3199999998</v>
      </c>
      <c r="D12" s="3">
        <f>2267633.73</f>
        <v>2267633.73</v>
      </c>
      <c r="E12" s="7"/>
      <c r="G12" s="6"/>
      <c r="H12" s="6"/>
      <c r="I12" s="7"/>
      <c r="J12" s="6"/>
      <c r="K12" s="7"/>
      <c r="L12" s="7"/>
      <c r="M12" s="7"/>
      <c r="N12" s="7"/>
      <c r="O12" s="7"/>
    </row>
    <row r="13" spans="2:15" x14ac:dyDescent="0.3">
      <c r="B13" s="11" t="s">
        <v>36</v>
      </c>
      <c r="C13" s="3">
        <v>0</v>
      </c>
      <c r="D13" s="3">
        <f>709849.99</f>
        <v>709849.99</v>
      </c>
      <c r="E13" s="7"/>
      <c r="G13" s="6"/>
      <c r="H13" s="6"/>
      <c r="I13" s="7"/>
      <c r="J13" s="6"/>
      <c r="K13" s="7"/>
      <c r="L13" s="7"/>
      <c r="M13" s="7"/>
      <c r="N13" s="7"/>
      <c r="O13" s="7"/>
    </row>
    <row r="14" spans="2:15" x14ac:dyDescent="0.3">
      <c r="B14" s="11" t="s">
        <v>51</v>
      </c>
      <c r="C14" s="24">
        <v>3205.924</v>
      </c>
      <c r="D14" s="20">
        <v>0</v>
      </c>
      <c r="E14" s="23"/>
      <c r="G14" s="6"/>
      <c r="H14" s="6"/>
      <c r="I14" s="7"/>
      <c r="J14" s="6"/>
      <c r="K14" s="7"/>
      <c r="L14" s="7"/>
      <c r="M14" s="7"/>
      <c r="N14" s="7"/>
      <c r="O14" s="7"/>
    </row>
    <row r="15" spans="2:15" x14ac:dyDescent="0.3">
      <c r="B15" s="11" t="s">
        <v>5</v>
      </c>
      <c r="C15" s="3">
        <f>403526.85</f>
        <v>403526.85</v>
      </c>
      <c r="D15" s="3">
        <f>2247378.31</f>
        <v>2247378.31</v>
      </c>
      <c r="E15" s="23"/>
      <c r="G15" s="6"/>
      <c r="H15" s="6"/>
      <c r="I15" s="7"/>
      <c r="J15" s="6"/>
      <c r="K15" s="7"/>
      <c r="L15" s="7"/>
      <c r="M15" s="7"/>
      <c r="N15" s="7"/>
      <c r="O15" s="7"/>
    </row>
    <row r="16" spans="2:15" x14ac:dyDescent="0.3">
      <c r="B16" s="11" t="s">
        <v>45</v>
      </c>
      <c r="C16" s="3">
        <f>1216936.53-1135408.8</f>
        <v>81527.729999999981</v>
      </c>
      <c r="D16" s="3">
        <f>1216936.53-1098601.24</f>
        <v>118335.29000000004</v>
      </c>
      <c r="E16" s="23"/>
      <c r="G16" s="6"/>
      <c r="H16" s="6"/>
      <c r="I16" s="7"/>
      <c r="J16" s="6"/>
      <c r="K16" s="7"/>
      <c r="L16" s="7"/>
      <c r="M16" s="7"/>
      <c r="N16" s="7"/>
      <c r="O16" s="7"/>
    </row>
    <row r="17" spans="2:15" x14ac:dyDescent="0.3">
      <c r="B17" s="11" t="s">
        <v>46</v>
      </c>
      <c r="C17" s="3">
        <f>1179659.62-1167663.51</f>
        <v>11996.110000000102</v>
      </c>
      <c r="D17" s="3">
        <f>1179659.62-1169032.49</f>
        <v>10627.130000000121</v>
      </c>
      <c r="E17" s="23"/>
      <c r="G17" s="6"/>
      <c r="H17" s="6"/>
      <c r="I17" s="7"/>
      <c r="J17" s="6"/>
      <c r="K17" s="7"/>
      <c r="L17" s="7"/>
      <c r="M17" s="7"/>
      <c r="N17" s="7"/>
      <c r="O17" s="7"/>
    </row>
    <row r="18" spans="2:15" x14ac:dyDescent="0.3">
      <c r="B18" s="11" t="s">
        <v>47</v>
      </c>
      <c r="C18" s="3">
        <v>0</v>
      </c>
      <c r="D18" s="3">
        <f>2934070.46</f>
        <v>2934070.46</v>
      </c>
      <c r="E18" s="23"/>
      <c r="G18" s="6"/>
      <c r="H18" s="6"/>
      <c r="I18" s="7"/>
      <c r="J18" s="6"/>
      <c r="K18" s="7"/>
      <c r="L18" s="7"/>
      <c r="M18" s="7"/>
      <c r="N18" s="7"/>
      <c r="O18" s="7"/>
    </row>
    <row r="19" spans="2:15" x14ac:dyDescent="0.3">
      <c r="B19" s="11" t="s">
        <v>48</v>
      </c>
      <c r="C19" s="3">
        <f>2396596.15-$C$12</f>
        <v>93523.830000000075</v>
      </c>
      <c r="D19" s="3">
        <f>2396596.15-$D$12</f>
        <v>128962.41999999993</v>
      </c>
      <c r="E19" s="23"/>
      <c r="G19" s="6"/>
      <c r="H19" s="6"/>
      <c r="I19" s="7"/>
      <c r="J19" s="6"/>
      <c r="K19" s="7"/>
      <c r="L19" s="7"/>
      <c r="M19" s="7"/>
      <c r="N19" s="7"/>
      <c r="O19" s="7"/>
    </row>
    <row r="20" spans="2:15" x14ac:dyDescent="0.3">
      <c r="B20" s="11" t="s">
        <v>49</v>
      </c>
      <c r="C20" s="3">
        <f>1600*($C$5-3580.54)</f>
        <v>403769.60000000033</v>
      </c>
      <c r="D20" s="3">
        <f>1600*($D$5-3580.54)</f>
        <v>362966.24000000011</v>
      </c>
      <c r="E20" s="23"/>
      <c r="G20" s="6"/>
      <c r="H20" s="6"/>
      <c r="I20" s="7"/>
      <c r="J20" s="6"/>
      <c r="K20" s="7"/>
      <c r="L20" s="7"/>
      <c r="M20" s="7"/>
      <c r="N20" s="7"/>
      <c r="O20" s="7"/>
    </row>
    <row r="21" spans="2:15" x14ac:dyDescent="0.3">
      <c r="B21" s="11" t="s">
        <v>50</v>
      </c>
      <c r="C21" s="3">
        <f>(840*$C$7)+(420*$C$8)</f>
        <v>592172.69999999995</v>
      </c>
      <c r="D21" s="3">
        <f>(840*$D$7)+(420*$D$8)</f>
        <v>1292484.48</v>
      </c>
      <c r="E21" s="23"/>
      <c r="G21" s="6"/>
      <c r="H21" s="6"/>
      <c r="I21" s="7"/>
      <c r="J21" s="6"/>
      <c r="K21" s="7"/>
      <c r="L21" s="7"/>
      <c r="M21" s="7"/>
      <c r="N21" s="7"/>
      <c r="O21" s="7"/>
    </row>
    <row r="22" spans="2:15" x14ac:dyDescent="0.3">
      <c r="C22" s="21"/>
      <c r="D22" s="4"/>
      <c r="E22" s="4"/>
      <c r="G22" s="6"/>
      <c r="H22" s="6"/>
      <c r="I22" s="7"/>
      <c r="J22" s="6"/>
      <c r="K22" s="7"/>
      <c r="L22" s="7"/>
      <c r="M22" s="7"/>
      <c r="N22" s="7"/>
      <c r="O22" s="7"/>
    </row>
    <row r="23" spans="2:15" ht="15" thickBot="1" x14ac:dyDescent="0.35">
      <c r="B23" s="8"/>
      <c r="C23" s="9"/>
      <c r="D23" s="9"/>
      <c r="E23" s="9"/>
      <c r="F23" s="6"/>
      <c r="G23" s="6"/>
      <c r="H23" s="6"/>
      <c r="I23" s="7"/>
      <c r="J23" s="6"/>
      <c r="K23" s="7"/>
      <c r="L23" s="7"/>
      <c r="M23" s="7"/>
      <c r="N23" s="7"/>
      <c r="O23" s="7"/>
    </row>
    <row r="24" spans="2:15" x14ac:dyDescent="0.3">
      <c r="B24" s="25" t="s">
        <v>15</v>
      </c>
      <c r="C24" s="43" t="s">
        <v>52</v>
      </c>
      <c r="D24" s="45"/>
      <c r="E24" s="35"/>
      <c r="G24" s="2" t="s">
        <v>19</v>
      </c>
      <c r="H24" s="5" t="s">
        <v>34</v>
      </c>
      <c r="I24" s="7"/>
      <c r="J24" s="7"/>
    </row>
    <row r="25" spans="2:15" ht="15" thickBot="1" x14ac:dyDescent="0.35">
      <c r="B25" s="26" t="s">
        <v>40</v>
      </c>
      <c r="C25" s="27" t="s">
        <v>53</v>
      </c>
      <c r="D25" s="38" t="s">
        <v>59</v>
      </c>
      <c r="E25" s="9"/>
      <c r="G25" s="2" t="s">
        <v>41</v>
      </c>
      <c r="H25" s="5">
        <v>26</v>
      </c>
      <c r="I25" s="7"/>
      <c r="J25" s="7"/>
    </row>
    <row r="26" spans="2:15" x14ac:dyDescent="0.3">
      <c r="B26" s="12" t="s">
        <v>17</v>
      </c>
      <c r="C26" s="19">
        <f>55739772</f>
        <v>55739772</v>
      </c>
      <c r="D26" s="37">
        <f>59900600</f>
        <v>59900600</v>
      </c>
      <c r="E26" s="31"/>
      <c r="G26" s="2" t="s">
        <v>21</v>
      </c>
      <c r="H26" s="5" t="s">
        <v>25</v>
      </c>
      <c r="I26" s="7"/>
      <c r="J26" s="7"/>
    </row>
    <row r="27" spans="2:15" x14ac:dyDescent="0.3">
      <c r="B27" s="2" t="s">
        <v>6</v>
      </c>
      <c r="C27" s="24">
        <f>3832.896</f>
        <v>3832.8960000000002</v>
      </c>
      <c r="D27" s="24">
        <v>3886.424</v>
      </c>
      <c r="E27" s="40"/>
      <c r="G27" s="2" t="s">
        <v>22</v>
      </c>
      <c r="H27" s="10">
        <v>0</v>
      </c>
      <c r="I27" s="7"/>
      <c r="J27" s="7"/>
    </row>
    <row r="28" spans="2:15" x14ac:dyDescent="0.3">
      <c r="B28" s="2" t="s">
        <v>60</v>
      </c>
      <c r="C28" s="50">
        <v>0</v>
      </c>
      <c r="D28" s="49">
        <v>45.06</v>
      </c>
      <c r="E28" s="40"/>
      <c r="G28" s="11" t="s">
        <v>23</v>
      </c>
      <c r="H28" s="5" t="s">
        <v>27</v>
      </c>
      <c r="I28" s="7"/>
      <c r="J28" s="7"/>
    </row>
    <row r="29" spans="2:15" x14ac:dyDescent="0.3">
      <c r="B29" s="2" t="s">
        <v>8</v>
      </c>
      <c r="C29" s="20">
        <f>338.931</f>
        <v>338.93099999999998</v>
      </c>
      <c r="D29" s="24">
        <f>226.419395397172</f>
        <v>226.419395397172</v>
      </c>
      <c r="E29" s="40"/>
      <c r="G29" s="11" t="s">
        <v>24</v>
      </c>
      <c r="H29" s="10" t="s">
        <v>28</v>
      </c>
      <c r="I29" s="7"/>
      <c r="J29" s="7"/>
    </row>
    <row r="30" spans="2:15" x14ac:dyDescent="0.3">
      <c r="B30" s="2" t="s">
        <v>7</v>
      </c>
      <c r="C30" s="20">
        <f>732.073</f>
        <v>732.07299999999998</v>
      </c>
      <c r="D30" s="24">
        <f>355.088744796816</f>
        <v>355.088744796816</v>
      </c>
      <c r="E30" s="23"/>
      <c r="G30" s="11" t="s">
        <v>42</v>
      </c>
      <c r="H30" s="36" t="s">
        <v>44</v>
      </c>
      <c r="I30" s="7"/>
      <c r="J30" s="7"/>
    </row>
    <row r="31" spans="2:15" x14ac:dyDescent="0.3">
      <c r="B31" s="2" t="s">
        <v>9</v>
      </c>
      <c r="C31" s="20">
        <v>0</v>
      </c>
      <c r="D31" s="20">
        <v>0</v>
      </c>
      <c r="E31" s="23"/>
      <c r="G31" s="11" t="s">
        <v>56</v>
      </c>
      <c r="H31" s="10" t="s">
        <v>58</v>
      </c>
      <c r="I31" s="7"/>
      <c r="J31" s="7"/>
    </row>
    <row r="32" spans="2:15" x14ac:dyDescent="0.3">
      <c r="B32" s="2" t="s">
        <v>11</v>
      </c>
      <c r="C32" s="3">
        <f>2984475</f>
        <v>2984475</v>
      </c>
      <c r="D32" s="3">
        <f>2671343</f>
        <v>2671343</v>
      </c>
      <c r="E32" s="7"/>
      <c r="G32" s="22"/>
      <c r="H32" s="32"/>
      <c r="I32" s="6"/>
      <c r="J32" s="6"/>
    </row>
    <row r="33" spans="2:15" x14ac:dyDescent="0.3">
      <c r="B33" s="11" t="s">
        <v>30</v>
      </c>
      <c r="C33" s="3">
        <v>0</v>
      </c>
      <c r="D33" s="3">
        <v>0</v>
      </c>
      <c r="E33" s="7"/>
      <c r="G33" s="6"/>
      <c r="H33" s="6"/>
    </row>
    <row r="34" spans="2:15" x14ac:dyDescent="0.3">
      <c r="B34" s="11" t="s">
        <v>31</v>
      </c>
      <c r="C34" s="3">
        <f>2303072.32</f>
        <v>2303072.3199999998</v>
      </c>
      <c r="D34" s="3">
        <f>2318271.4</f>
        <v>2318271.4</v>
      </c>
      <c r="E34" s="7"/>
      <c r="G34" s="6"/>
      <c r="H34" s="6"/>
    </row>
    <row r="35" spans="2:15" x14ac:dyDescent="0.3">
      <c r="B35" s="11" t="s">
        <v>36</v>
      </c>
      <c r="C35" s="3">
        <v>0</v>
      </c>
      <c r="D35" s="3">
        <f>214900.664874013</f>
        <v>214900.66487401299</v>
      </c>
      <c r="E35" s="7"/>
      <c r="G35" s="6"/>
      <c r="H35" s="6"/>
    </row>
    <row r="36" spans="2:15" x14ac:dyDescent="0.3">
      <c r="B36" s="11" t="s">
        <v>51</v>
      </c>
      <c r="C36" s="24">
        <f>729134.75</f>
        <v>729134.75</v>
      </c>
      <c r="D36" s="20">
        <v>0</v>
      </c>
      <c r="E36" s="23"/>
      <c r="G36" s="6"/>
      <c r="H36" s="6"/>
    </row>
    <row r="37" spans="2:15" x14ac:dyDescent="0.3">
      <c r="B37" s="11" t="s">
        <v>5</v>
      </c>
      <c r="C37" s="3">
        <f>403526.85</f>
        <v>403526.85</v>
      </c>
      <c r="D37" s="48">
        <f>886756.467803157</f>
        <v>886756.46780315705</v>
      </c>
      <c r="E37" s="7"/>
      <c r="G37" s="6"/>
      <c r="H37" s="6"/>
    </row>
    <row r="38" spans="2:15" x14ac:dyDescent="0.3">
      <c r="B38" s="11" t="s">
        <v>45</v>
      </c>
      <c r="C38" s="3">
        <f>81527.73</f>
        <v>81527.73</v>
      </c>
      <c r="D38" s="3">
        <f>1216936.53-1153234.55</f>
        <v>63701.979999999981</v>
      </c>
      <c r="E38" s="23"/>
      <c r="G38" s="6"/>
      <c r="H38" s="6"/>
      <c r="I38" s="7"/>
      <c r="J38" s="6"/>
      <c r="K38" s="7"/>
      <c r="L38" s="7"/>
      <c r="M38" s="7"/>
      <c r="N38" s="7"/>
      <c r="O38" s="7"/>
    </row>
    <row r="39" spans="2:15" x14ac:dyDescent="0.3">
      <c r="B39" s="11" t="s">
        <v>46</v>
      </c>
      <c r="C39" s="3">
        <f>11996.11</f>
        <v>11996.11</v>
      </c>
      <c r="D39" s="3">
        <f>1179659.62-1165036.86</f>
        <v>14622.760000000009</v>
      </c>
      <c r="E39" s="23"/>
      <c r="G39" s="6"/>
      <c r="H39" s="6"/>
      <c r="I39" s="7"/>
      <c r="J39" s="6"/>
      <c r="K39" s="7"/>
      <c r="L39" s="7"/>
      <c r="M39" s="7"/>
      <c r="N39" s="7"/>
      <c r="O39" s="7"/>
    </row>
    <row r="40" spans="2:15" x14ac:dyDescent="0.3">
      <c r="B40" s="11" t="s">
        <v>47</v>
      </c>
      <c r="C40" s="3">
        <v>0</v>
      </c>
      <c r="D40" s="48">
        <f>733517.614688538</f>
        <v>733517.61468853801</v>
      </c>
      <c r="E40" s="23"/>
      <c r="G40" s="6"/>
      <c r="H40" s="6"/>
      <c r="I40" s="7"/>
      <c r="J40" s="6"/>
      <c r="K40" s="7"/>
      <c r="L40" s="7"/>
      <c r="M40" s="7"/>
      <c r="N40" s="7"/>
      <c r="O40" s="7"/>
    </row>
    <row r="41" spans="2:15" x14ac:dyDescent="0.3">
      <c r="B41" s="11" t="s">
        <v>48</v>
      </c>
      <c r="C41" s="3">
        <f>93523.83</f>
        <v>93523.83</v>
      </c>
      <c r="D41" s="3">
        <f>2396596.15-D34</f>
        <v>78324.75</v>
      </c>
      <c r="E41" s="23"/>
      <c r="G41" s="6"/>
      <c r="H41" s="6"/>
      <c r="I41" s="7"/>
      <c r="J41" s="6"/>
      <c r="K41" s="7"/>
      <c r="L41" s="7"/>
      <c r="M41" s="7"/>
      <c r="N41" s="7"/>
      <c r="O41" s="7"/>
    </row>
    <row r="42" spans="2:15" x14ac:dyDescent="0.3">
      <c r="B42" s="11" t="s">
        <v>49</v>
      </c>
      <c r="C42" s="3">
        <f>1600*(C27-3580.54)</f>
        <v>403769.60000000033</v>
      </c>
      <c r="D42" s="3">
        <f>1600*(D27-3580.54)</f>
        <v>489414.40000000002</v>
      </c>
      <c r="E42" s="7"/>
      <c r="F42" s="6"/>
      <c r="G42" s="6"/>
      <c r="H42" s="6"/>
      <c r="I42" s="7"/>
      <c r="J42" s="6"/>
    </row>
    <row r="43" spans="2:15" x14ac:dyDescent="0.3">
      <c r="B43" s="11" t="s">
        <v>50</v>
      </c>
      <c r="C43" s="3">
        <f>(840*C29)+(420*C30)</f>
        <v>592172.69999999995</v>
      </c>
      <c r="D43" s="3">
        <f>(840*D29)+(420*D30)</f>
        <v>339329.56494828721</v>
      </c>
      <c r="E43" s="6"/>
      <c r="F43" s="6"/>
      <c r="G43" s="6"/>
      <c r="H43" s="6"/>
      <c r="I43" s="6"/>
      <c r="J43" s="6"/>
    </row>
    <row r="44" spans="2:15" x14ac:dyDescent="0.3">
      <c r="B44" s="22"/>
      <c r="C44" s="7"/>
      <c r="D44" s="7"/>
      <c r="E44" s="6"/>
      <c r="F44" s="6"/>
      <c r="G44" s="6"/>
      <c r="H44" s="6"/>
      <c r="I44" s="6"/>
      <c r="J44" s="6"/>
    </row>
    <row r="45" spans="2:15" ht="15" thickBot="1" x14ac:dyDescent="0.35">
      <c r="B45" s="46"/>
      <c r="C45" s="47"/>
      <c r="D45" s="47"/>
      <c r="E45" s="6"/>
      <c r="F45" s="6"/>
      <c r="G45" s="6"/>
      <c r="H45" s="6"/>
      <c r="I45" s="6"/>
      <c r="J45" s="6"/>
    </row>
    <row r="46" spans="2:15" x14ac:dyDescent="0.3">
      <c r="B46" s="25" t="s">
        <v>15</v>
      </c>
      <c r="C46" s="43" t="s">
        <v>52</v>
      </c>
      <c r="D46" s="45"/>
      <c r="E46" s="35"/>
      <c r="G46" s="2" t="s">
        <v>19</v>
      </c>
      <c r="H46" s="5" t="s">
        <v>34</v>
      </c>
      <c r="I46" s="7"/>
      <c r="J46" s="7"/>
    </row>
    <row r="47" spans="2:15" ht="15" thickBot="1" x14ac:dyDescent="0.35">
      <c r="B47" s="26" t="s">
        <v>40</v>
      </c>
      <c r="C47" s="27" t="s">
        <v>53</v>
      </c>
      <c r="D47" s="38" t="s">
        <v>55</v>
      </c>
      <c r="E47" s="9"/>
      <c r="G47" s="2" t="s">
        <v>41</v>
      </c>
      <c r="H47" s="5">
        <v>26</v>
      </c>
      <c r="I47" s="7"/>
      <c r="J47" s="7"/>
    </row>
    <row r="48" spans="2:15" x14ac:dyDescent="0.3">
      <c r="B48" s="12" t="s">
        <v>17</v>
      </c>
      <c r="C48" s="19">
        <f>55739772</f>
        <v>55739772</v>
      </c>
      <c r="D48" s="37">
        <f>198970668</f>
        <v>198970668</v>
      </c>
      <c r="E48" s="31"/>
      <c r="G48" s="2" t="s">
        <v>21</v>
      </c>
      <c r="H48" s="5" t="s">
        <v>25</v>
      </c>
      <c r="I48" s="7"/>
      <c r="J48" s="7"/>
    </row>
    <row r="49" spans="2:15" x14ac:dyDescent="0.3">
      <c r="B49" s="2" t="s">
        <v>6</v>
      </c>
      <c r="C49" s="24">
        <f>3832.896</f>
        <v>3832.8960000000002</v>
      </c>
      <c r="D49" s="24">
        <f>20509.996</f>
        <v>20509.995999999999</v>
      </c>
      <c r="E49" s="40"/>
      <c r="G49" s="2" t="s">
        <v>22</v>
      </c>
      <c r="H49" s="10">
        <v>0</v>
      </c>
      <c r="I49" s="7"/>
      <c r="J49" s="7"/>
    </row>
    <row r="50" spans="2:15" x14ac:dyDescent="0.3">
      <c r="B50" s="2" t="s">
        <v>8</v>
      </c>
      <c r="C50" s="20">
        <f>338.931</f>
        <v>338.93099999999998</v>
      </c>
      <c r="D50" s="24">
        <f>5545.73</f>
        <v>5545.73</v>
      </c>
      <c r="E50" s="40"/>
      <c r="G50" s="11" t="s">
        <v>23</v>
      </c>
      <c r="H50" s="5" t="s">
        <v>27</v>
      </c>
      <c r="I50" s="7"/>
      <c r="J50" s="7"/>
    </row>
    <row r="51" spans="2:15" x14ac:dyDescent="0.3">
      <c r="B51" s="2" t="s">
        <v>7</v>
      </c>
      <c r="C51" s="20">
        <f>732.073</f>
        <v>732.07299999999998</v>
      </c>
      <c r="D51" s="24">
        <f>112310.42</f>
        <v>112310.42</v>
      </c>
      <c r="E51" s="23"/>
      <c r="G51" s="11" t="s">
        <v>24</v>
      </c>
      <c r="H51" s="10" t="s">
        <v>28</v>
      </c>
      <c r="I51" s="7"/>
      <c r="J51" s="7"/>
    </row>
    <row r="52" spans="2:15" x14ac:dyDescent="0.3">
      <c r="B52" s="2" t="s">
        <v>9</v>
      </c>
      <c r="C52" s="20">
        <v>0</v>
      </c>
      <c r="D52" s="20">
        <v>0</v>
      </c>
      <c r="E52" s="23"/>
      <c r="G52" s="11" t="s">
        <v>42</v>
      </c>
      <c r="H52" s="36" t="s">
        <v>44</v>
      </c>
      <c r="I52" s="7"/>
      <c r="J52" s="7"/>
    </row>
    <row r="53" spans="2:15" x14ac:dyDescent="0.3">
      <c r="B53" s="2" t="s">
        <v>11</v>
      </c>
      <c r="C53" s="3">
        <f>2984475</f>
        <v>2984475</v>
      </c>
      <c r="D53" s="3">
        <f>139582833</f>
        <v>139582833</v>
      </c>
      <c r="E53" s="7"/>
      <c r="G53" s="6"/>
      <c r="H53" s="6"/>
      <c r="I53" s="6"/>
      <c r="J53" s="6"/>
    </row>
    <row r="54" spans="2:15" x14ac:dyDescent="0.3">
      <c r="B54" s="11" t="s">
        <v>30</v>
      </c>
      <c r="C54" s="3">
        <v>0</v>
      </c>
      <c r="D54" s="3">
        <v>0</v>
      </c>
      <c r="E54" s="7"/>
      <c r="G54" s="6"/>
      <c r="H54" s="6"/>
    </row>
    <row r="55" spans="2:15" x14ac:dyDescent="0.3">
      <c r="B55" s="11" t="s">
        <v>31</v>
      </c>
      <c r="C55" s="3">
        <f>2303072.32</f>
        <v>2303072.3199999998</v>
      </c>
      <c r="D55" s="3">
        <f>752732.08</f>
        <v>752732.08</v>
      </c>
      <c r="E55" s="7"/>
      <c r="G55" s="6"/>
      <c r="H55" s="6"/>
    </row>
    <row r="56" spans="2:15" x14ac:dyDescent="0.3">
      <c r="B56" s="11" t="s">
        <v>36</v>
      </c>
      <c r="C56" s="3">
        <v>0</v>
      </c>
      <c r="D56" s="3">
        <f>42221556.3047481</f>
        <v>42221556.304748103</v>
      </c>
      <c r="E56" s="7"/>
      <c r="G56" s="6"/>
      <c r="H56" s="6"/>
    </row>
    <row r="57" spans="2:15" x14ac:dyDescent="0.3">
      <c r="B57" s="11" t="s">
        <v>51</v>
      </c>
      <c r="C57" s="24">
        <f>729134.75</f>
        <v>729134.75</v>
      </c>
      <c r="D57" s="20">
        <v>0</v>
      </c>
      <c r="E57" s="23"/>
      <c r="G57" s="6"/>
      <c r="H57" s="6"/>
    </row>
    <row r="58" spans="2:15" x14ac:dyDescent="0.3">
      <c r="B58" s="11" t="s">
        <v>5</v>
      </c>
      <c r="C58" s="3">
        <f>403526.85</f>
        <v>403526.85</v>
      </c>
      <c r="D58" s="3">
        <f>859300819.58</f>
        <v>859300819.58000004</v>
      </c>
      <c r="E58" s="7"/>
      <c r="G58" s="6"/>
      <c r="H58" s="6"/>
    </row>
    <row r="59" spans="2:15" x14ac:dyDescent="0.3">
      <c r="B59" s="11" t="s">
        <v>45</v>
      </c>
      <c r="C59" s="3">
        <f>81527.73</f>
        <v>81527.73</v>
      </c>
      <c r="D59" s="3">
        <f>950554.21</f>
        <v>950554.21</v>
      </c>
      <c r="E59" s="23"/>
      <c r="G59" s="6"/>
      <c r="H59" s="6"/>
      <c r="I59" s="7"/>
      <c r="J59" s="6"/>
      <c r="K59" s="7"/>
      <c r="L59" s="7"/>
      <c r="M59" s="7"/>
      <c r="N59" s="7"/>
      <c r="O59" s="7"/>
    </row>
    <row r="60" spans="2:15" x14ac:dyDescent="0.3">
      <c r="B60" s="11" t="s">
        <v>46</v>
      </c>
      <c r="C60" s="3">
        <f>11996.11</f>
        <v>11996.11</v>
      </c>
      <c r="D60" s="3">
        <f>693309.85</f>
        <v>693309.85</v>
      </c>
      <c r="E60" s="23"/>
      <c r="G60" s="6"/>
      <c r="H60" s="6"/>
      <c r="I60" s="7"/>
      <c r="J60" s="6"/>
      <c r="K60" s="7"/>
      <c r="L60" s="7"/>
      <c r="M60" s="7"/>
      <c r="N60" s="7"/>
      <c r="O60" s="7"/>
    </row>
    <row r="61" spans="2:15" x14ac:dyDescent="0.3">
      <c r="B61" s="11" t="s">
        <v>47</v>
      </c>
      <c r="C61" s="3">
        <v>0</v>
      </c>
      <c r="D61" s="3">
        <f>1002128189.12</f>
        <v>1002128189.12</v>
      </c>
      <c r="E61" s="23"/>
      <c r="G61" s="6"/>
      <c r="H61" s="6"/>
      <c r="I61" s="7"/>
      <c r="J61" s="6"/>
      <c r="K61" s="7"/>
      <c r="L61" s="7"/>
      <c r="M61" s="7"/>
      <c r="N61" s="7"/>
      <c r="O61" s="7"/>
    </row>
    <row r="62" spans="2:15" x14ac:dyDescent="0.3">
      <c r="B62" s="11" t="s">
        <v>48</v>
      </c>
      <c r="C62" s="3">
        <f>93523.83</f>
        <v>93523.83</v>
      </c>
      <c r="D62" s="3">
        <f>1643864.07</f>
        <v>1643864.07</v>
      </c>
      <c r="E62" s="23"/>
      <c r="G62" s="6"/>
      <c r="H62" s="6"/>
      <c r="I62" s="7"/>
      <c r="J62" s="6"/>
      <c r="K62" s="7"/>
      <c r="L62" s="7"/>
      <c r="M62" s="7"/>
      <c r="N62" s="7"/>
      <c r="O62" s="7"/>
    </row>
    <row r="63" spans="2:15" x14ac:dyDescent="0.3">
      <c r="B63" s="11" t="s">
        <v>49</v>
      </c>
      <c r="C63" s="3">
        <f>1600*(C49-3580.54)</f>
        <v>403769.60000000033</v>
      </c>
      <c r="D63" s="3">
        <f>1600*(D49-3580.54)</f>
        <v>27087129.599999998</v>
      </c>
      <c r="E63" s="7"/>
      <c r="F63" s="6"/>
      <c r="G63" s="6"/>
      <c r="H63" s="6"/>
      <c r="I63" s="7"/>
      <c r="J63" s="6"/>
    </row>
    <row r="64" spans="2:15" x14ac:dyDescent="0.3">
      <c r="B64" s="11" t="s">
        <v>50</v>
      </c>
      <c r="C64" s="3">
        <f>(840*C50)+(420*C51)</f>
        <v>592172.69999999995</v>
      </c>
      <c r="D64" s="3">
        <f>(840*D50)+(420*D51)</f>
        <v>51828789.599999994</v>
      </c>
      <c r="E64" s="6"/>
      <c r="F64" s="6"/>
      <c r="G64" s="6"/>
      <c r="H64" s="6"/>
      <c r="I64" s="6"/>
      <c r="J64" s="6"/>
    </row>
    <row r="65" spans="2:8" x14ac:dyDescent="0.3">
      <c r="B65" s="8"/>
      <c r="C65" s="35"/>
      <c r="D65" s="35"/>
      <c r="E65" s="35"/>
      <c r="F65" s="6"/>
      <c r="G65" s="6"/>
      <c r="H65" s="9"/>
    </row>
    <row r="66" spans="2:8" x14ac:dyDescent="0.3">
      <c r="B66" s="8"/>
      <c r="C66" s="9"/>
      <c r="D66" s="9"/>
      <c r="E66" s="9"/>
      <c r="F66" s="6"/>
      <c r="G66" s="6"/>
      <c r="H66" s="9"/>
    </row>
    <row r="67" spans="2:8" x14ac:dyDescent="0.3">
      <c r="B67" s="30"/>
      <c r="C67" s="31"/>
      <c r="D67" s="31"/>
      <c r="E67" s="31"/>
      <c r="F67" s="6"/>
      <c r="G67" s="6"/>
      <c r="H67" s="9"/>
    </row>
    <row r="68" spans="2:8" x14ac:dyDescent="0.3">
      <c r="B68" s="6"/>
      <c r="C68" s="23"/>
      <c r="D68" s="23"/>
      <c r="E68" s="23"/>
      <c r="F68" s="6"/>
      <c r="G68" s="6"/>
      <c r="H68" s="32"/>
    </row>
    <row r="69" spans="2:8" x14ac:dyDescent="0.3">
      <c r="B69" s="6"/>
      <c r="C69" s="23"/>
      <c r="D69" s="23"/>
      <c r="E69" s="23"/>
      <c r="F69" s="6"/>
      <c r="G69" s="22"/>
      <c r="H69" s="9"/>
    </row>
    <row r="70" spans="2:8" x14ac:dyDescent="0.3">
      <c r="B70" s="6"/>
      <c r="C70" s="23"/>
      <c r="D70" s="23"/>
      <c r="E70" s="23"/>
      <c r="F70" s="6"/>
      <c r="G70" s="22"/>
      <c r="H70" s="32"/>
    </row>
    <row r="71" spans="2:8" x14ac:dyDescent="0.3">
      <c r="B71" s="6"/>
      <c r="C71" s="23"/>
      <c r="D71" s="23"/>
      <c r="E71" s="23"/>
      <c r="F71" s="6"/>
      <c r="G71" s="6"/>
      <c r="H71" s="6"/>
    </row>
    <row r="72" spans="2:8" x14ac:dyDescent="0.3">
      <c r="B72" s="6"/>
      <c r="C72" s="7"/>
      <c r="D72" s="7"/>
      <c r="E72" s="7"/>
      <c r="F72" s="6"/>
      <c r="G72" s="6"/>
      <c r="H72" s="6"/>
    </row>
    <row r="73" spans="2:8" x14ac:dyDescent="0.3">
      <c r="B73" s="22"/>
      <c r="C73" s="7"/>
      <c r="D73" s="7"/>
      <c r="E73" s="7"/>
      <c r="F73" s="6"/>
      <c r="G73" s="6"/>
      <c r="H73" s="6"/>
    </row>
    <row r="74" spans="2:8" x14ac:dyDescent="0.3">
      <c r="B74" s="22"/>
      <c r="C74" s="7"/>
      <c r="D74" s="7"/>
      <c r="E74" s="7"/>
      <c r="F74" s="6"/>
      <c r="G74" s="6"/>
      <c r="H74" s="6"/>
    </row>
    <row r="75" spans="2:8" x14ac:dyDescent="0.3">
      <c r="B75" s="22"/>
      <c r="C75" s="7"/>
      <c r="D75" s="7"/>
      <c r="E75" s="7"/>
      <c r="F75" s="6"/>
      <c r="G75" s="6"/>
      <c r="H75" s="6"/>
    </row>
    <row r="76" spans="2:8" x14ac:dyDescent="0.3">
      <c r="B76" s="22"/>
      <c r="C76" s="7"/>
      <c r="D76" s="7"/>
      <c r="E76" s="7"/>
      <c r="F76" s="6"/>
      <c r="G76" s="6"/>
      <c r="H76" s="6"/>
    </row>
    <row r="77" spans="2:8" x14ac:dyDescent="0.3">
      <c r="B77" s="22"/>
      <c r="C77" s="23"/>
      <c r="D77" s="23"/>
      <c r="E77" s="23"/>
      <c r="F77" s="6"/>
      <c r="G77" s="6"/>
      <c r="H77" s="6"/>
    </row>
    <row r="78" spans="2:8" x14ac:dyDescent="0.3">
      <c r="B78" s="22"/>
      <c r="C78" s="23"/>
      <c r="D78" s="23"/>
      <c r="E78" s="23"/>
      <c r="F78" s="6"/>
      <c r="G78" s="6"/>
      <c r="H78" s="6"/>
    </row>
    <row r="79" spans="2:8" x14ac:dyDescent="0.3">
      <c r="B79" s="22"/>
      <c r="C79" s="23"/>
      <c r="D79" s="23"/>
      <c r="E79" s="23"/>
      <c r="F79" s="6"/>
      <c r="G79" s="6"/>
      <c r="H79" s="6"/>
    </row>
    <row r="80" spans="2:8" x14ac:dyDescent="0.3">
      <c r="B80" s="8"/>
      <c r="C80" s="35"/>
      <c r="D80" s="35"/>
      <c r="E80" s="35"/>
      <c r="F80" s="6"/>
      <c r="G80" s="6"/>
      <c r="H80" s="6"/>
    </row>
    <row r="81" spans="2:8" x14ac:dyDescent="0.3">
      <c r="B81" s="8"/>
      <c r="C81" s="9"/>
      <c r="D81" s="9"/>
      <c r="E81" s="9"/>
      <c r="F81" s="6"/>
      <c r="G81" s="6"/>
      <c r="H81" s="9"/>
    </row>
    <row r="82" spans="2:8" x14ac:dyDescent="0.3">
      <c r="B82" s="30"/>
      <c r="C82" s="31"/>
      <c r="D82" s="31"/>
      <c r="E82" s="31"/>
      <c r="F82" s="6"/>
      <c r="G82" s="6"/>
      <c r="H82" s="9"/>
    </row>
    <row r="83" spans="2:8" x14ac:dyDescent="0.3">
      <c r="B83" s="6"/>
      <c r="C83" s="23"/>
      <c r="D83" s="23"/>
      <c r="E83" s="23"/>
      <c r="F83" s="6"/>
      <c r="G83" s="6"/>
      <c r="H83" s="32"/>
    </row>
    <row r="84" spans="2:8" x14ac:dyDescent="0.3">
      <c r="B84" s="6"/>
      <c r="C84" s="23"/>
      <c r="D84" s="23"/>
      <c r="E84" s="23"/>
      <c r="F84" s="6"/>
      <c r="G84" s="22"/>
      <c r="H84" s="9"/>
    </row>
    <row r="85" spans="2:8" x14ac:dyDescent="0.3">
      <c r="B85" s="6"/>
      <c r="C85" s="23"/>
      <c r="D85" s="23"/>
      <c r="E85" s="23"/>
      <c r="F85" s="6"/>
      <c r="G85" s="22"/>
      <c r="H85" s="32"/>
    </row>
    <row r="86" spans="2:8" x14ac:dyDescent="0.3">
      <c r="B86" s="6"/>
      <c r="C86" s="23"/>
      <c r="D86" s="23"/>
      <c r="E86" s="23"/>
      <c r="F86" s="6"/>
      <c r="G86" s="6"/>
      <c r="H86" s="6"/>
    </row>
    <row r="87" spans="2:8" x14ac:dyDescent="0.3">
      <c r="B87" s="6"/>
      <c r="C87" s="7"/>
      <c r="D87" s="7"/>
      <c r="E87" s="7"/>
      <c r="F87" s="6"/>
      <c r="G87" s="6"/>
      <c r="H87" s="6"/>
    </row>
    <row r="88" spans="2:8" x14ac:dyDescent="0.3">
      <c r="B88" s="22"/>
      <c r="C88" s="7"/>
      <c r="D88" s="7"/>
      <c r="E88" s="7"/>
      <c r="F88" s="6"/>
      <c r="G88" s="6"/>
      <c r="H88" s="6"/>
    </row>
    <row r="89" spans="2:8" x14ac:dyDescent="0.3">
      <c r="B89" s="22"/>
      <c r="C89" s="7"/>
      <c r="D89" s="7"/>
      <c r="E89" s="7"/>
      <c r="F89" s="6"/>
      <c r="G89" s="6"/>
      <c r="H89" s="6"/>
    </row>
    <row r="90" spans="2:8" x14ac:dyDescent="0.3">
      <c r="B90" s="22"/>
      <c r="C90" s="7"/>
      <c r="D90" s="7"/>
      <c r="E90" s="7"/>
      <c r="F90" s="6"/>
      <c r="G90" s="6"/>
      <c r="H90" s="6"/>
    </row>
    <row r="91" spans="2:8" x14ac:dyDescent="0.3">
      <c r="B91" s="22"/>
      <c r="C91" s="7"/>
      <c r="D91" s="7"/>
      <c r="E91" s="7"/>
      <c r="F91" s="6"/>
      <c r="G91" s="6"/>
      <c r="H91" s="6"/>
    </row>
    <row r="92" spans="2:8" x14ac:dyDescent="0.3">
      <c r="B92" s="22"/>
      <c r="C92" s="23"/>
      <c r="D92" s="23"/>
      <c r="E92" s="23"/>
      <c r="F92" s="6"/>
      <c r="G92" s="6"/>
      <c r="H92" s="6"/>
    </row>
    <row r="93" spans="2:8" x14ac:dyDescent="0.3">
      <c r="B93" s="6"/>
      <c r="C93" s="6"/>
      <c r="D93" s="6"/>
      <c r="E93" s="6"/>
      <c r="F93" s="6"/>
      <c r="G93" s="6"/>
      <c r="H93" s="6"/>
    </row>
    <row r="94" spans="2:8" x14ac:dyDescent="0.3">
      <c r="B94" s="6"/>
      <c r="C94" s="6"/>
      <c r="D94" s="6"/>
      <c r="E94" s="6"/>
      <c r="F94" s="6"/>
      <c r="G94" s="6"/>
      <c r="H94" s="6"/>
    </row>
    <row r="95" spans="2:8" x14ac:dyDescent="0.3">
      <c r="B95" s="8"/>
      <c r="C95" s="35"/>
      <c r="D95" s="35"/>
      <c r="E95" s="35"/>
      <c r="F95" s="6"/>
      <c r="G95" s="6"/>
      <c r="H95" s="6"/>
    </row>
    <row r="96" spans="2:8" x14ac:dyDescent="0.3">
      <c r="B96" s="8"/>
      <c r="C96" s="9"/>
      <c r="D96" s="9"/>
      <c r="E96" s="9"/>
      <c r="F96" s="6"/>
      <c r="G96" s="6"/>
      <c r="H96" s="9"/>
    </row>
    <row r="97" spans="2:8" x14ac:dyDescent="0.3">
      <c r="B97" s="30"/>
      <c r="C97" s="31"/>
      <c r="D97" s="31"/>
      <c r="E97" s="31"/>
      <c r="F97" s="6"/>
      <c r="G97" s="6"/>
      <c r="H97" s="9"/>
    </row>
    <row r="98" spans="2:8" x14ac:dyDescent="0.3">
      <c r="B98" s="6"/>
      <c r="C98" s="23"/>
      <c r="D98" s="23"/>
      <c r="E98" s="23"/>
      <c r="F98" s="6"/>
      <c r="G98" s="6"/>
      <c r="H98" s="32"/>
    </row>
    <row r="99" spans="2:8" x14ac:dyDescent="0.3">
      <c r="B99" s="6"/>
      <c r="C99" s="23"/>
      <c r="D99" s="23"/>
      <c r="E99" s="23"/>
      <c r="F99" s="6"/>
      <c r="G99" s="22"/>
      <c r="H99" s="9"/>
    </row>
    <row r="100" spans="2:8" x14ac:dyDescent="0.3">
      <c r="B100" s="6"/>
      <c r="C100" s="23"/>
      <c r="D100" s="23"/>
      <c r="E100" s="23"/>
      <c r="F100" s="6"/>
      <c r="G100" s="22"/>
      <c r="H100" s="32"/>
    </row>
    <row r="101" spans="2:8" x14ac:dyDescent="0.3">
      <c r="B101" s="6"/>
      <c r="C101" s="23"/>
      <c r="D101" s="23"/>
      <c r="E101" s="23"/>
      <c r="F101" s="6"/>
      <c r="G101" s="6"/>
      <c r="H101" s="6"/>
    </row>
    <row r="102" spans="2:8" x14ac:dyDescent="0.3">
      <c r="B102" s="6"/>
      <c r="C102" s="7"/>
      <c r="D102" s="7"/>
      <c r="E102" s="7"/>
      <c r="F102" s="6"/>
      <c r="G102" s="6"/>
      <c r="H102" s="6"/>
    </row>
    <row r="103" spans="2:8" x14ac:dyDescent="0.3">
      <c r="B103" s="22"/>
      <c r="C103" s="7"/>
      <c r="D103" s="7"/>
      <c r="E103" s="7"/>
      <c r="F103" s="6"/>
      <c r="G103" s="6"/>
      <c r="H103" s="6"/>
    </row>
    <row r="104" spans="2:8" x14ac:dyDescent="0.3">
      <c r="B104" s="22"/>
      <c r="C104" s="7"/>
      <c r="D104" s="7"/>
      <c r="E104" s="7"/>
      <c r="F104" s="6"/>
      <c r="G104" s="6"/>
      <c r="H104" s="6"/>
    </row>
    <row r="105" spans="2:8" x14ac:dyDescent="0.3">
      <c r="B105" s="22"/>
      <c r="C105" s="7"/>
      <c r="D105" s="7"/>
      <c r="E105" s="7"/>
      <c r="F105" s="6"/>
      <c r="G105" s="6"/>
      <c r="H105" s="6"/>
    </row>
    <row r="106" spans="2:8" x14ac:dyDescent="0.3">
      <c r="B106" s="22"/>
      <c r="C106" s="7"/>
      <c r="D106" s="7"/>
      <c r="E106" s="7"/>
      <c r="F106" s="6"/>
      <c r="G106" s="6"/>
      <c r="H106" s="6"/>
    </row>
    <row r="107" spans="2:8" x14ac:dyDescent="0.3">
      <c r="B107" s="22"/>
      <c r="C107" s="23"/>
      <c r="D107" s="23"/>
      <c r="E107" s="23"/>
      <c r="F107" s="6"/>
      <c r="G107" s="6"/>
      <c r="H107" s="6"/>
    </row>
    <row r="108" spans="2:8" x14ac:dyDescent="0.3">
      <c r="B108" s="6"/>
      <c r="C108" s="6"/>
      <c r="D108" s="6"/>
      <c r="E108" s="6"/>
      <c r="F108" s="6"/>
      <c r="G108" s="6"/>
      <c r="H108" s="6"/>
    </row>
    <row r="109" spans="2:8" x14ac:dyDescent="0.3">
      <c r="B109" s="6"/>
      <c r="C109" s="6"/>
      <c r="D109" s="6"/>
      <c r="E109" s="6"/>
      <c r="F109" s="6"/>
      <c r="G109" s="6"/>
      <c r="H109" s="6"/>
    </row>
    <row r="110" spans="2:8" x14ac:dyDescent="0.3">
      <c r="B110" s="8"/>
      <c r="C110" s="35"/>
      <c r="D110" s="35"/>
      <c r="E110" s="35"/>
      <c r="F110" s="6"/>
      <c r="G110" s="6"/>
      <c r="H110" s="6"/>
    </row>
    <row r="111" spans="2:8" x14ac:dyDescent="0.3">
      <c r="B111" s="8"/>
      <c r="C111" s="9"/>
      <c r="D111" s="9"/>
      <c r="E111" s="9"/>
      <c r="F111" s="6"/>
      <c r="G111" s="6"/>
      <c r="H111" s="9"/>
    </row>
    <row r="112" spans="2:8" x14ac:dyDescent="0.3">
      <c r="B112" s="30"/>
      <c r="C112" s="31"/>
      <c r="D112" s="31"/>
      <c r="E112" s="31"/>
      <c r="F112" s="6"/>
      <c r="G112" s="6"/>
      <c r="H112" s="9"/>
    </row>
    <row r="113" spans="2:8" x14ac:dyDescent="0.3">
      <c r="B113" s="6"/>
      <c r="C113" s="23"/>
      <c r="D113" s="23"/>
      <c r="E113" s="23"/>
      <c r="F113" s="6"/>
      <c r="G113" s="6"/>
      <c r="H113" s="32"/>
    </row>
    <row r="114" spans="2:8" x14ac:dyDescent="0.3">
      <c r="B114" s="6"/>
      <c r="C114" s="23"/>
      <c r="D114" s="23"/>
      <c r="E114" s="23"/>
      <c r="F114" s="6"/>
      <c r="G114" s="22"/>
      <c r="H114" s="9"/>
    </row>
    <row r="115" spans="2:8" x14ac:dyDescent="0.3">
      <c r="B115" s="6"/>
      <c r="C115" s="23"/>
      <c r="D115" s="23"/>
      <c r="E115" s="23"/>
      <c r="F115" s="6"/>
      <c r="G115" s="22"/>
      <c r="H115" s="32"/>
    </row>
    <row r="116" spans="2:8" x14ac:dyDescent="0.3">
      <c r="B116" s="6"/>
      <c r="C116" s="23"/>
      <c r="D116" s="23"/>
      <c r="E116" s="23"/>
      <c r="F116" s="6"/>
      <c r="G116" s="6"/>
      <c r="H116" s="6"/>
    </row>
    <row r="117" spans="2:8" x14ac:dyDescent="0.3">
      <c r="B117" s="6"/>
      <c r="C117" s="7"/>
      <c r="D117" s="7"/>
      <c r="E117" s="7"/>
      <c r="F117" s="6"/>
      <c r="G117" s="6"/>
      <c r="H117" s="6"/>
    </row>
    <row r="118" spans="2:8" x14ac:dyDescent="0.3">
      <c r="B118" s="22"/>
      <c r="C118" s="7"/>
      <c r="D118" s="7"/>
      <c r="E118" s="7"/>
      <c r="F118" s="6"/>
      <c r="G118" s="6"/>
      <c r="H118" s="6"/>
    </row>
    <row r="119" spans="2:8" x14ac:dyDescent="0.3">
      <c r="B119" s="22"/>
      <c r="C119" s="7"/>
      <c r="D119" s="7"/>
      <c r="E119" s="7"/>
      <c r="F119" s="6"/>
      <c r="G119" s="6"/>
      <c r="H119" s="6"/>
    </row>
    <row r="120" spans="2:8" x14ac:dyDescent="0.3">
      <c r="B120" s="22"/>
      <c r="C120" s="7"/>
      <c r="D120" s="7"/>
      <c r="E120" s="7"/>
      <c r="F120" s="6"/>
      <c r="G120" s="6"/>
      <c r="H120" s="6"/>
    </row>
    <row r="121" spans="2:8" x14ac:dyDescent="0.3">
      <c r="B121" s="22"/>
      <c r="C121" s="7"/>
      <c r="D121" s="7"/>
      <c r="E121" s="7"/>
      <c r="F121" s="6"/>
      <c r="G121" s="6"/>
      <c r="H121" s="6"/>
    </row>
    <row r="122" spans="2:8" x14ac:dyDescent="0.3">
      <c r="B122" s="22"/>
      <c r="C122" s="23"/>
      <c r="D122" s="23"/>
      <c r="E122" s="23"/>
      <c r="F122" s="6"/>
      <c r="G122" s="6"/>
      <c r="H122" s="6"/>
    </row>
    <row r="123" spans="2:8" x14ac:dyDescent="0.3">
      <c r="B123" s="6"/>
      <c r="C123" s="6"/>
      <c r="D123" s="6"/>
      <c r="E123" s="6"/>
      <c r="F123" s="6"/>
      <c r="G123" s="6"/>
      <c r="H123" s="6"/>
    </row>
    <row r="124" spans="2:8" x14ac:dyDescent="0.3">
      <c r="B124" s="6"/>
      <c r="C124" s="6"/>
      <c r="D124" s="6"/>
      <c r="E124" s="6"/>
      <c r="F124" s="6"/>
      <c r="G124" s="6"/>
      <c r="H124" s="6"/>
    </row>
    <row r="125" spans="2:8" x14ac:dyDescent="0.3">
      <c r="B125" s="8"/>
      <c r="C125" s="35"/>
      <c r="D125" s="35"/>
      <c r="E125" s="35"/>
      <c r="F125" s="6"/>
      <c r="G125" s="6"/>
      <c r="H125" s="6"/>
    </row>
    <row r="126" spans="2:8" x14ac:dyDescent="0.3">
      <c r="B126" s="8"/>
      <c r="C126" s="9"/>
      <c r="D126" s="9"/>
      <c r="E126" s="9"/>
      <c r="F126" s="6"/>
      <c r="G126" s="6"/>
      <c r="H126" s="9"/>
    </row>
    <row r="127" spans="2:8" x14ac:dyDescent="0.3">
      <c r="B127" s="30"/>
      <c r="C127" s="31"/>
      <c r="D127" s="31"/>
      <c r="E127" s="31"/>
      <c r="F127" s="6"/>
      <c r="G127" s="6"/>
      <c r="H127" s="33"/>
    </row>
    <row r="128" spans="2:8" x14ac:dyDescent="0.3">
      <c r="B128" s="6"/>
      <c r="C128" s="23"/>
      <c r="D128" s="23"/>
      <c r="E128" s="23"/>
      <c r="F128" s="6"/>
      <c r="G128" s="6"/>
      <c r="H128" s="32"/>
    </row>
    <row r="129" spans="2:8" x14ac:dyDescent="0.3">
      <c r="B129" s="6"/>
      <c r="C129" s="23"/>
      <c r="D129" s="23"/>
      <c r="E129" s="23"/>
      <c r="F129" s="6"/>
      <c r="G129" s="22"/>
      <c r="H129" s="9"/>
    </row>
    <row r="130" spans="2:8" x14ac:dyDescent="0.3">
      <c r="B130" s="6"/>
      <c r="C130" s="23"/>
      <c r="D130" s="23"/>
      <c r="E130" s="23"/>
      <c r="F130" s="6"/>
      <c r="G130" s="22"/>
      <c r="H130" s="32"/>
    </row>
    <row r="131" spans="2:8" x14ac:dyDescent="0.3">
      <c r="B131" s="6"/>
      <c r="C131" s="23"/>
      <c r="D131" s="23"/>
      <c r="E131" s="23"/>
      <c r="F131" s="6"/>
      <c r="G131" s="6"/>
      <c r="H131" s="6"/>
    </row>
    <row r="132" spans="2:8" x14ac:dyDescent="0.3">
      <c r="B132" s="6"/>
      <c r="C132" s="7"/>
      <c r="D132" s="7"/>
      <c r="E132" s="7"/>
      <c r="F132" s="6"/>
      <c r="G132" s="6"/>
      <c r="H132" s="6"/>
    </row>
    <row r="133" spans="2:8" x14ac:dyDescent="0.3">
      <c r="B133" s="22"/>
      <c r="C133" s="7"/>
      <c r="D133" s="7"/>
      <c r="E133" s="7"/>
      <c r="F133" s="6"/>
      <c r="G133" s="6"/>
      <c r="H133" s="6"/>
    </row>
    <row r="134" spans="2:8" x14ac:dyDescent="0.3">
      <c r="B134" s="22"/>
      <c r="C134" s="7"/>
      <c r="D134" s="7"/>
      <c r="E134" s="7"/>
      <c r="F134" s="6"/>
      <c r="G134" s="6"/>
      <c r="H134" s="6"/>
    </row>
    <row r="135" spans="2:8" x14ac:dyDescent="0.3">
      <c r="B135" s="22"/>
      <c r="C135" s="7"/>
      <c r="D135" s="7"/>
      <c r="E135" s="7"/>
      <c r="F135" s="6"/>
      <c r="G135" s="6"/>
      <c r="H135" s="6"/>
    </row>
    <row r="136" spans="2:8" x14ac:dyDescent="0.3">
      <c r="B136" s="22"/>
      <c r="C136" s="7"/>
      <c r="D136" s="7"/>
      <c r="E136" s="7"/>
      <c r="F136" s="6"/>
      <c r="G136" s="6"/>
      <c r="H136" s="6"/>
    </row>
    <row r="137" spans="2:8" x14ac:dyDescent="0.3">
      <c r="B137" s="22"/>
      <c r="C137" s="23"/>
      <c r="D137" s="23"/>
      <c r="E137" s="23"/>
      <c r="F137" s="6"/>
      <c r="G137" s="6"/>
      <c r="H137" s="6"/>
    </row>
    <row r="138" spans="2:8" x14ac:dyDescent="0.3">
      <c r="B138" s="6"/>
      <c r="C138" s="6"/>
      <c r="D138" s="6"/>
      <c r="E138" s="6"/>
      <c r="F138" s="6"/>
      <c r="G138" s="6"/>
      <c r="H138" s="6"/>
    </row>
    <row r="139" spans="2:8" x14ac:dyDescent="0.3">
      <c r="B139" s="6"/>
      <c r="C139" s="6"/>
      <c r="D139" s="6"/>
      <c r="E139" s="6"/>
      <c r="F139" s="6"/>
      <c r="G139" s="6"/>
      <c r="H139" s="6"/>
    </row>
    <row r="140" spans="2:8" x14ac:dyDescent="0.3">
      <c r="B140" s="8"/>
      <c r="C140" s="35"/>
      <c r="D140" s="35"/>
      <c r="E140" s="35"/>
      <c r="F140" s="6"/>
      <c r="G140" s="6"/>
      <c r="H140" s="6"/>
    </row>
    <row r="141" spans="2:8" x14ac:dyDescent="0.3">
      <c r="B141" s="8"/>
      <c r="C141" s="9"/>
      <c r="D141" s="9"/>
      <c r="E141" s="9"/>
      <c r="F141" s="6"/>
      <c r="G141" s="6"/>
      <c r="H141" s="9"/>
    </row>
    <row r="142" spans="2:8" x14ac:dyDescent="0.3">
      <c r="B142" s="30"/>
      <c r="C142" s="31"/>
      <c r="D142" s="31"/>
      <c r="E142" s="31"/>
      <c r="F142" s="6"/>
      <c r="G142" s="6"/>
      <c r="H142" s="33"/>
    </row>
    <row r="143" spans="2:8" x14ac:dyDescent="0.3">
      <c r="B143" s="6"/>
      <c r="C143" s="23"/>
      <c r="D143" s="23"/>
      <c r="E143" s="23"/>
      <c r="F143" s="6"/>
      <c r="G143" s="6"/>
      <c r="H143" s="34"/>
    </row>
    <row r="144" spans="2:8" x14ac:dyDescent="0.3">
      <c r="B144" s="6"/>
      <c r="C144" s="23"/>
      <c r="D144" s="23"/>
      <c r="E144" s="23"/>
      <c r="F144" s="6"/>
      <c r="G144" s="22"/>
      <c r="H144" s="9"/>
    </row>
    <row r="145" spans="2:8" x14ac:dyDescent="0.3">
      <c r="B145" s="6"/>
      <c r="C145" s="23"/>
      <c r="D145" s="23"/>
      <c r="E145" s="23"/>
      <c r="F145" s="6"/>
      <c r="G145" s="22"/>
      <c r="H145" s="32"/>
    </row>
    <row r="146" spans="2:8" x14ac:dyDescent="0.3">
      <c r="B146" s="6"/>
      <c r="C146" s="23"/>
      <c r="D146" s="23"/>
      <c r="E146" s="23"/>
      <c r="F146" s="6"/>
      <c r="G146" s="6"/>
      <c r="H146" s="6"/>
    </row>
    <row r="147" spans="2:8" x14ac:dyDescent="0.3">
      <c r="B147" s="6"/>
      <c r="C147" s="7"/>
      <c r="D147" s="7"/>
      <c r="E147" s="7"/>
      <c r="F147" s="6"/>
      <c r="G147" s="6"/>
      <c r="H147" s="6"/>
    </row>
    <row r="148" spans="2:8" x14ac:dyDescent="0.3">
      <c r="B148" s="22"/>
      <c r="C148" s="7"/>
      <c r="D148" s="7"/>
      <c r="E148" s="7"/>
      <c r="F148" s="6"/>
      <c r="G148" s="6"/>
      <c r="H148" s="6"/>
    </row>
    <row r="149" spans="2:8" x14ac:dyDescent="0.3">
      <c r="B149" s="22"/>
      <c r="C149" s="7"/>
      <c r="D149" s="7"/>
      <c r="E149" s="7"/>
      <c r="F149" s="6"/>
      <c r="G149" s="6"/>
      <c r="H149" s="6"/>
    </row>
    <row r="150" spans="2:8" x14ac:dyDescent="0.3">
      <c r="B150" s="22"/>
      <c r="C150" s="7"/>
      <c r="D150" s="7"/>
      <c r="E150" s="7"/>
      <c r="F150" s="6"/>
      <c r="G150" s="6"/>
      <c r="H150" s="6"/>
    </row>
    <row r="151" spans="2:8" x14ac:dyDescent="0.3">
      <c r="B151" s="22"/>
      <c r="C151" s="7"/>
      <c r="D151" s="7"/>
      <c r="E151" s="7"/>
      <c r="F151" s="6"/>
      <c r="G151" s="6"/>
      <c r="H151" s="6"/>
    </row>
    <row r="152" spans="2:8" x14ac:dyDescent="0.3">
      <c r="B152" s="22"/>
      <c r="C152" s="23"/>
      <c r="D152" s="23"/>
      <c r="E152" s="23"/>
      <c r="F152" s="6"/>
      <c r="G152" s="6"/>
      <c r="H152" s="6"/>
    </row>
    <row r="153" spans="2:8" x14ac:dyDescent="0.3">
      <c r="B153" s="6"/>
      <c r="C153" s="6"/>
      <c r="D153" s="6"/>
      <c r="E153" s="6"/>
      <c r="F153" s="6"/>
      <c r="G153" s="6"/>
      <c r="H153" s="6"/>
    </row>
  </sheetData>
  <mergeCells count="3">
    <mergeCell ref="C2:D2"/>
    <mergeCell ref="C46:D46"/>
    <mergeCell ref="C24:D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STM_existing_old</vt:lpstr>
      <vt:lpstr>STM_existing_sseb_crit_old</vt:lpstr>
      <vt:lpstr>JuMP 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Joseph</dc:creator>
  <cp:lastModifiedBy>Chang, Joseph</cp:lastModifiedBy>
  <dcterms:created xsi:type="dcterms:W3CDTF">2020-07-24T03:00:02Z</dcterms:created>
  <dcterms:modified xsi:type="dcterms:W3CDTF">2020-08-12T23:48:12Z</dcterms:modified>
</cp:coreProperties>
</file>