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llianWedin\Downloads\MSBA Materials\Case Competition\"/>
    </mc:Choice>
  </mc:AlternateContent>
  <xr:revisionPtr revIDLastSave="0" documentId="8_{4FD5EE19-F058-42A5-9F03-B3D7F52709E5}" xr6:coauthVersionLast="47" xr6:coauthVersionMax="47" xr10:uidLastSave="{00000000-0000-0000-0000-000000000000}"/>
  <bookViews>
    <workbookView xWindow="-110" yWindow="-110" windowWidth="19420" windowHeight="10420" firstSheet="1" activeTab="1" xr2:uid="{6FA05AD1-026F-6E4D-8D91-558991EA8E9E}"/>
  </bookViews>
  <sheets>
    <sheet name="Summary" sheetId="3" r:id="rId1"/>
    <sheet name="Calculations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A23" i="3"/>
  <c r="D23" i="3"/>
  <c r="B4" i="1"/>
  <c r="E5" i="1"/>
  <c r="B5" i="1"/>
  <c r="D371" i="1"/>
  <c r="B4" i="3" s="1"/>
  <c r="I337" i="1"/>
  <c r="J337" i="1"/>
  <c r="K337" i="1"/>
  <c r="I338" i="1"/>
  <c r="J338" i="1"/>
  <c r="K338" i="1"/>
  <c r="I339" i="1"/>
  <c r="J339" i="1"/>
  <c r="K339" i="1"/>
  <c r="I340" i="1"/>
  <c r="J340" i="1"/>
  <c r="K340" i="1"/>
  <c r="I341" i="1"/>
  <c r="J341" i="1"/>
  <c r="K341" i="1"/>
  <c r="I342" i="1"/>
  <c r="J342" i="1"/>
  <c r="K342" i="1"/>
  <c r="I343" i="1"/>
  <c r="J343" i="1"/>
  <c r="K343" i="1"/>
  <c r="I344" i="1"/>
  <c r="J344" i="1"/>
  <c r="K344" i="1"/>
  <c r="I345" i="1"/>
  <c r="J345" i="1"/>
  <c r="K345" i="1"/>
  <c r="I346" i="1"/>
  <c r="J346" i="1"/>
  <c r="K346" i="1"/>
  <c r="I347" i="1"/>
  <c r="J347" i="1"/>
  <c r="K347" i="1"/>
  <c r="I348" i="1"/>
  <c r="J348" i="1"/>
  <c r="K348" i="1"/>
  <c r="I349" i="1"/>
  <c r="J349" i="1"/>
  <c r="K349" i="1"/>
  <c r="I350" i="1"/>
  <c r="J350" i="1"/>
  <c r="K350" i="1"/>
  <c r="I351" i="1"/>
  <c r="J351" i="1"/>
  <c r="K351" i="1"/>
  <c r="I352" i="1"/>
  <c r="J352" i="1"/>
  <c r="K352" i="1"/>
  <c r="I353" i="1"/>
  <c r="J353" i="1"/>
  <c r="K353" i="1"/>
  <c r="I354" i="1"/>
  <c r="J354" i="1"/>
  <c r="K354" i="1"/>
  <c r="I355" i="1"/>
  <c r="J355" i="1"/>
  <c r="K355" i="1"/>
  <c r="I356" i="1"/>
  <c r="J356" i="1"/>
  <c r="K356" i="1"/>
  <c r="I357" i="1"/>
  <c r="J357" i="1"/>
  <c r="K357" i="1"/>
  <c r="I358" i="1"/>
  <c r="J358" i="1"/>
  <c r="K358" i="1"/>
  <c r="I359" i="1"/>
  <c r="J359" i="1"/>
  <c r="K359" i="1"/>
  <c r="I360" i="1"/>
  <c r="J360" i="1"/>
  <c r="K360" i="1"/>
  <c r="I361" i="1"/>
  <c r="J361" i="1"/>
  <c r="K361" i="1"/>
  <c r="I362" i="1"/>
  <c r="J362" i="1"/>
  <c r="K362" i="1"/>
  <c r="I363" i="1"/>
  <c r="J363" i="1"/>
  <c r="K363" i="1"/>
  <c r="I364" i="1"/>
  <c r="J364" i="1"/>
  <c r="K364" i="1"/>
  <c r="I365" i="1"/>
  <c r="J365" i="1"/>
  <c r="K365" i="1"/>
  <c r="I366" i="1"/>
  <c r="J366" i="1"/>
  <c r="K366" i="1"/>
  <c r="I367" i="1"/>
  <c r="J367" i="1"/>
  <c r="K367" i="1"/>
  <c r="J336" i="1"/>
  <c r="K336" i="1"/>
  <c r="I336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296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68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36" i="1"/>
  <c r="F330" i="1"/>
  <c r="F299" i="1"/>
  <c r="F298" i="1"/>
  <c r="F297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296" i="1"/>
  <c r="F290" i="1"/>
  <c r="F269" i="1"/>
  <c r="F270" i="1"/>
  <c r="F271" i="1"/>
  <c r="F272" i="1"/>
  <c r="M272" i="1" s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68" i="1"/>
  <c r="G248" i="1"/>
  <c r="G249" i="1"/>
  <c r="G250" i="1"/>
  <c r="F66" i="1"/>
  <c r="D214" i="1"/>
  <c r="E242" i="1"/>
  <c r="F242" i="1"/>
  <c r="G242" i="1"/>
  <c r="E243" i="1"/>
  <c r="F243" i="1"/>
  <c r="G243" i="1"/>
  <c r="F241" i="1"/>
  <c r="G241" i="1"/>
  <c r="E241" i="1"/>
  <c r="D229" i="1"/>
  <c r="D224" i="1"/>
  <c r="D209" i="1"/>
  <c r="D203" i="1"/>
  <c r="D201" i="1"/>
  <c r="D182" i="1"/>
  <c r="B13" i="3" s="1"/>
  <c r="I147" i="1"/>
  <c r="J147" i="1"/>
  <c r="K147" i="1"/>
  <c r="I148" i="1"/>
  <c r="J148" i="1"/>
  <c r="K148" i="1"/>
  <c r="I149" i="1"/>
  <c r="J149" i="1"/>
  <c r="K149" i="1"/>
  <c r="I150" i="1"/>
  <c r="J150" i="1"/>
  <c r="K150" i="1"/>
  <c r="I151" i="1"/>
  <c r="J151" i="1"/>
  <c r="K151" i="1"/>
  <c r="I152" i="1"/>
  <c r="J152" i="1"/>
  <c r="K152" i="1"/>
  <c r="I153" i="1"/>
  <c r="J153" i="1"/>
  <c r="K153" i="1"/>
  <c r="I154" i="1"/>
  <c r="J154" i="1"/>
  <c r="K154" i="1"/>
  <c r="I155" i="1"/>
  <c r="J155" i="1"/>
  <c r="K155" i="1"/>
  <c r="I156" i="1"/>
  <c r="J156" i="1"/>
  <c r="K156" i="1"/>
  <c r="I157" i="1"/>
  <c r="J157" i="1"/>
  <c r="K157" i="1"/>
  <c r="I158" i="1"/>
  <c r="J158" i="1"/>
  <c r="K158" i="1"/>
  <c r="I159" i="1"/>
  <c r="J159" i="1"/>
  <c r="K159" i="1"/>
  <c r="I160" i="1"/>
  <c r="J160" i="1"/>
  <c r="K160" i="1"/>
  <c r="I161" i="1"/>
  <c r="J161" i="1"/>
  <c r="K161" i="1"/>
  <c r="I162" i="1"/>
  <c r="J162" i="1"/>
  <c r="K162" i="1"/>
  <c r="I163" i="1"/>
  <c r="J163" i="1"/>
  <c r="K163" i="1"/>
  <c r="I164" i="1"/>
  <c r="J164" i="1"/>
  <c r="K164" i="1"/>
  <c r="I165" i="1"/>
  <c r="J165" i="1"/>
  <c r="K165" i="1"/>
  <c r="I166" i="1"/>
  <c r="J166" i="1"/>
  <c r="K166" i="1"/>
  <c r="I167" i="1"/>
  <c r="J167" i="1"/>
  <c r="K167" i="1"/>
  <c r="I168" i="1"/>
  <c r="J168" i="1"/>
  <c r="K168" i="1"/>
  <c r="I169" i="1"/>
  <c r="J169" i="1"/>
  <c r="K169" i="1"/>
  <c r="I170" i="1"/>
  <c r="J170" i="1"/>
  <c r="K170" i="1"/>
  <c r="I171" i="1"/>
  <c r="J171" i="1"/>
  <c r="K171" i="1"/>
  <c r="I172" i="1"/>
  <c r="J172" i="1"/>
  <c r="K172" i="1"/>
  <c r="I173" i="1"/>
  <c r="J173" i="1"/>
  <c r="K173" i="1"/>
  <c r="I174" i="1"/>
  <c r="J174" i="1"/>
  <c r="K174" i="1"/>
  <c r="I175" i="1"/>
  <c r="J175" i="1"/>
  <c r="K175" i="1"/>
  <c r="I176" i="1"/>
  <c r="J176" i="1"/>
  <c r="K176" i="1"/>
  <c r="I177" i="1"/>
  <c r="J177" i="1"/>
  <c r="K177" i="1"/>
  <c r="J146" i="1"/>
  <c r="K146" i="1"/>
  <c r="K106" i="1"/>
  <c r="J106" i="1"/>
  <c r="I106" i="1"/>
  <c r="I146" i="1"/>
  <c r="I107" i="1"/>
  <c r="J107" i="1"/>
  <c r="K107" i="1"/>
  <c r="I108" i="1"/>
  <c r="J108" i="1"/>
  <c r="K108" i="1"/>
  <c r="I109" i="1"/>
  <c r="J109" i="1"/>
  <c r="K109" i="1"/>
  <c r="I110" i="1"/>
  <c r="J110" i="1"/>
  <c r="K110" i="1"/>
  <c r="I111" i="1"/>
  <c r="J111" i="1"/>
  <c r="K111" i="1"/>
  <c r="I112" i="1"/>
  <c r="J112" i="1"/>
  <c r="K112" i="1"/>
  <c r="I113" i="1"/>
  <c r="J113" i="1"/>
  <c r="K113" i="1"/>
  <c r="I114" i="1"/>
  <c r="J114" i="1"/>
  <c r="K114" i="1"/>
  <c r="I115" i="1"/>
  <c r="J115" i="1"/>
  <c r="K115" i="1"/>
  <c r="I116" i="1"/>
  <c r="J116" i="1"/>
  <c r="K116" i="1"/>
  <c r="I117" i="1"/>
  <c r="J117" i="1"/>
  <c r="K117" i="1"/>
  <c r="I118" i="1"/>
  <c r="J118" i="1"/>
  <c r="K118" i="1"/>
  <c r="I119" i="1"/>
  <c r="J119" i="1"/>
  <c r="K119" i="1"/>
  <c r="I120" i="1"/>
  <c r="J120" i="1"/>
  <c r="K120" i="1"/>
  <c r="I121" i="1"/>
  <c r="J121" i="1"/>
  <c r="K121" i="1"/>
  <c r="I122" i="1"/>
  <c r="J122" i="1"/>
  <c r="K122" i="1"/>
  <c r="I123" i="1"/>
  <c r="J123" i="1"/>
  <c r="K123" i="1"/>
  <c r="I124" i="1"/>
  <c r="J124" i="1"/>
  <c r="K124" i="1"/>
  <c r="I125" i="1"/>
  <c r="J125" i="1"/>
  <c r="K125" i="1"/>
  <c r="I126" i="1"/>
  <c r="J126" i="1"/>
  <c r="K126" i="1"/>
  <c r="I127" i="1"/>
  <c r="J127" i="1"/>
  <c r="K127" i="1"/>
  <c r="I128" i="1"/>
  <c r="J128" i="1"/>
  <c r="K128" i="1"/>
  <c r="I129" i="1"/>
  <c r="J129" i="1"/>
  <c r="K129" i="1"/>
  <c r="I130" i="1"/>
  <c r="J130" i="1"/>
  <c r="K130" i="1"/>
  <c r="I131" i="1"/>
  <c r="J131" i="1"/>
  <c r="K131" i="1"/>
  <c r="I132" i="1"/>
  <c r="J132" i="1"/>
  <c r="K132" i="1"/>
  <c r="I133" i="1"/>
  <c r="J133" i="1"/>
  <c r="K133" i="1"/>
  <c r="I134" i="1"/>
  <c r="J134" i="1"/>
  <c r="K134" i="1"/>
  <c r="I135" i="1"/>
  <c r="J135" i="1"/>
  <c r="K135" i="1"/>
  <c r="I136" i="1"/>
  <c r="J136" i="1"/>
  <c r="K136" i="1"/>
  <c r="I137" i="1"/>
  <c r="J137" i="1"/>
  <c r="K137" i="1"/>
  <c r="I138" i="1"/>
  <c r="J138" i="1"/>
  <c r="K138" i="1"/>
  <c r="I139" i="1"/>
  <c r="J139" i="1"/>
  <c r="K139" i="1"/>
  <c r="I140" i="1"/>
  <c r="J140" i="1"/>
  <c r="K140" i="1"/>
  <c r="I78" i="1"/>
  <c r="J78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4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06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B62" i="1"/>
  <c r="C62" i="1" s="1"/>
  <c r="E4" i="1" l="1"/>
  <c r="N274" i="1"/>
  <c r="P283" i="1"/>
  <c r="M268" i="1"/>
  <c r="O344" i="1"/>
  <c r="P274" i="1"/>
  <c r="N283" i="1"/>
  <c r="M276" i="1"/>
  <c r="N281" i="1"/>
  <c r="O283" i="1"/>
  <c r="N307" i="1"/>
  <c r="P307" i="1"/>
  <c r="N301" i="1"/>
  <c r="O367" i="1"/>
  <c r="O274" i="1"/>
  <c r="M283" i="1"/>
  <c r="N302" i="1"/>
  <c r="O275" i="1"/>
  <c r="M288" i="1"/>
  <c r="N273" i="1"/>
  <c r="O277" i="1"/>
  <c r="O288" i="1"/>
  <c r="O337" i="1"/>
  <c r="M285" i="1"/>
  <c r="M273" i="1"/>
  <c r="M277" i="1"/>
  <c r="O273" i="1"/>
  <c r="P277" i="1"/>
  <c r="N289" i="1"/>
  <c r="O340" i="1"/>
  <c r="M344" i="1"/>
  <c r="O281" i="1"/>
  <c r="N275" i="1"/>
  <c r="N313" i="1"/>
  <c r="N268" i="1"/>
  <c r="M320" i="1"/>
  <c r="N320" i="1"/>
  <c r="M274" i="1"/>
  <c r="M281" i="1"/>
  <c r="P290" i="1"/>
  <c r="N349" i="1"/>
  <c r="N288" i="1"/>
  <c r="O276" i="1"/>
  <c r="M280" i="1"/>
  <c r="N319" i="1"/>
  <c r="N282" i="1"/>
  <c r="N296" i="1"/>
  <c r="P329" i="1"/>
  <c r="M271" i="1"/>
  <c r="N304" i="1"/>
  <c r="O345" i="1"/>
  <c r="N272" i="1"/>
  <c r="P301" i="1"/>
  <c r="O322" i="1"/>
  <c r="M289" i="1"/>
  <c r="M311" i="1"/>
  <c r="M347" i="1"/>
  <c r="P272" i="1"/>
  <c r="P275" i="1"/>
  <c r="M302" i="1"/>
  <c r="N317" i="1"/>
  <c r="M338" i="1"/>
  <c r="O268" i="1"/>
  <c r="N279" i="1"/>
  <c r="P296" i="1"/>
  <c r="M308" i="1"/>
  <c r="N323" i="1"/>
  <c r="M350" i="1"/>
  <c r="P345" i="1"/>
  <c r="P286" i="1"/>
  <c r="P271" i="1"/>
  <c r="O269" i="1"/>
  <c r="O279" i="1"/>
  <c r="M284" i="1"/>
  <c r="M299" i="1"/>
  <c r="M310" i="1"/>
  <c r="N327" i="1"/>
  <c r="P350" i="1"/>
  <c r="N270" i="1"/>
  <c r="P279" i="1"/>
  <c r="O284" i="1"/>
  <c r="N299" i="1"/>
  <c r="P310" i="1"/>
  <c r="N329" i="1"/>
  <c r="M357" i="1"/>
  <c r="M317" i="1"/>
  <c r="M330" i="1"/>
  <c r="O360" i="1"/>
  <c r="M270" i="1"/>
  <c r="P273" i="1"/>
  <c r="M282" i="1"/>
  <c r="P284" i="1"/>
  <c r="O296" i="1"/>
  <c r="P303" i="1"/>
  <c r="P312" i="1"/>
  <c r="M323" i="1"/>
  <c r="N338" i="1"/>
  <c r="O357" i="1"/>
  <c r="J257" i="1"/>
  <c r="O270" i="1"/>
  <c r="O278" i="1"/>
  <c r="O282" i="1"/>
  <c r="N285" i="1"/>
  <c r="N298" i="1"/>
  <c r="O304" i="1"/>
  <c r="O313" i="1"/>
  <c r="O326" i="1"/>
  <c r="M341" i="1"/>
  <c r="M361" i="1"/>
  <c r="P270" i="1"/>
  <c r="M279" i="1"/>
  <c r="P282" i="1"/>
  <c r="P287" i="1"/>
  <c r="P298" i="1"/>
  <c r="M305" i="1"/>
  <c r="O316" i="1"/>
  <c r="M327" i="1"/>
  <c r="P341" i="1"/>
  <c r="M367" i="1"/>
  <c r="P363" i="1"/>
  <c r="P353" i="1"/>
  <c r="P343" i="1"/>
  <c r="N278" i="1"/>
  <c r="P269" i="1"/>
  <c r="O272" i="1"/>
  <c r="M275" i="1"/>
  <c r="P278" i="1"/>
  <c r="N284" i="1"/>
  <c r="M296" i="1"/>
  <c r="O298" i="1"/>
  <c r="O301" i="1"/>
  <c r="M304" i="1"/>
  <c r="O307" i="1"/>
  <c r="N310" i="1"/>
  <c r="M313" i="1"/>
  <c r="P316" i="1"/>
  <c r="O319" i="1"/>
  <c r="P322" i="1"/>
  <c r="P326" i="1"/>
  <c r="O329" i="1"/>
  <c r="P337" i="1"/>
  <c r="P340" i="1"/>
  <c r="P346" i="1"/>
  <c r="O350" i="1"/>
  <c r="N357" i="1"/>
  <c r="P360" i="1"/>
  <c r="N367" i="1"/>
  <c r="M364" i="1"/>
  <c r="M354" i="1"/>
  <c r="O286" i="1"/>
  <c r="P362" i="1"/>
  <c r="O359" i="1"/>
  <c r="P352" i="1"/>
  <c r="P342" i="1"/>
  <c r="N347" i="1"/>
  <c r="M351" i="1"/>
  <c r="P357" i="1"/>
  <c r="P361" i="1"/>
  <c r="P367" i="1"/>
  <c r="N362" i="1"/>
  <c r="N352" i="1"/>
  <c r="N287" i="1"/>
  <c r="N326" i="1"/>
  <c r="N316" i="1"/>
  <c r="N306" i="1"/>
  <c r="P325" i="1"/>
  <c r="P320" i="1"/>
  <c r="P315" i="1"/>
  <c r="P305" i="1"/>
  <c r="P300" i="1"/>
  <c r="N308" i="1"/>
  <c r="N311" i="1"/>
  <c r="P313" i="1"/>
  <c r="O317" i="1"/>
  <c r="M321" i="1"/>
  <c r="P323" i="1"/>
  <c r="O327" i="1"/>
  <c r="N330" i="1"/>
  <c r="O338" i="1"/>
  <c r="M342" i="1"/>
  <c r="O347" i="1"/>
  <c r="M352" i="1"/>
  <c r="M358" i="1"/>
  <c r="M362" i="1"/>
  <c r="O361" i="1"/>
  <c r="O351" i="1"/>
  <c r="O341" i="1"/>
  <c r="N286" i="1"/>
  <c r="N325" i="1"/>
  <c r="N315" i="1"/>
  <c r="N305" i="1"/>
  <c r="O330" i="1"/>
  <c r="O325" i="1"/>
  <c r="O320" i="1"/>
  <c r="O315" i="1"/>
  <c r="O310" i="1"/>
  <c r="P351" i="1"/>
  <c r="O289" i="1"/>
  <c r="M297" i="1"/>
  <c r="O299" i="1"/>
  <c r="O302" i="1"/>
  <c r="O305" i="1"/>
  <c r="O308" i="1"/>
  <c r="O311" i="1"/>
  <c r="M314" i="1"/>
  <c r="P317" i="1"/>
  <c r="N321" i="1"/>
  <c r="M324" i="1"/>
  <c r="M328" i="1"/>
  <c r="N336" i="1"/>
  <c r="P338" i="1"/>
  <c r="N342" i="1"/>
  <c r="P347" i="1"/>
  <c r="O352" i="1"/>
  <c r="N358" i="1"/>
  <c r="O362" i="1"/>
  <c r="P324" i="1"/>
  <c r="P319" i="1"/>
  <c r="P314" i="1"/>
  <c r="P309" i="1"/>
  <c r="P304" i="1"/>
  <c r="P299" i="1"/>
  <c r="N348" i="1"/>
  <c r="O285" i="1"/>
  <c r="P289" i="1"/>
  <c r="N297" i="1"/>
  <c r="M300" i="1"/>
  <c r="P302" i="1"/>
  <c r="M306" i="1"/>
  <c r="P308" i="1"/>
  <c r="P311" i="1"/>
  <c r="N314" i="1"/>
  <c r="M318" i="1"/>
  <c r="O321" i="1"/>
  <c r="N324" i="1"/>
  <c r="N328" i="1"/>
  <c r="O336" i="1"/>
  <c r="N339" i="1"/>
  <c r="O342" i="1"/>
  <c r="M348" i="1"/>
  <c r="M353" i="1"/>
  <c r="O358" i="1"/>
  <c r="M363" i="1"/>
  <c r="M359" i="1"/>
  <c r="M339" i="1"/>
  <c r="M290" i="1"/>
  <c r="O297" i="1"/>
  <c r="O306" i="1"/>
  <c r="M309" i="1"/>
  <c r="M312" i="1"/>
  <c r="O314" i="1"/>
  <c r="N318" i="1"/>
  <c r="P321" i="1"/>
  <c r="O324" i="1"/>
  <c r="O328" i="1"/>
  <c r="P336" i="1"/>
  <c r="O339" i="1"/>
  <c r="M343" i="1"/>
  <c r="O348" i="1"/>
  <c r="N354" i="1"/>
  <c r="P358" i="1"/>
  <c r="N364" i="1"/>
  <c r="M336" i="1"/>
  <c r="N271" i="1"/>
  <c r="M303" i="1"/>
  <c r="M269" i="1"/>
  <c r="O271" i="1"/>
  <c r="O280" i="1"/>
  <c r="M286" i="1"/>
  <c r="N290" i="1"/>
  <c r="P297" i="1"/>
  <c r="O300" i="1"/>
  <c r="N303" i="1"/>
  <c r="P306" i="1"/>
  <c r="N309" i="1"/>
  <c r="N312" i="1"/>
  <c r="M315" i="1"/>
  <c r="P318" i="1"/>
  <c r="M322" i="1"/>
  <c r="M325" i="1"/>
  <c r="P328" i="1"/>
  <c r="M337" i="1"/>
  <c r="P339" i="1"/>
  <c r="M345" i="1"/>
  <c r="P348" i="1"/>
  <c r="O354" i="1"/>
  <c r="N359" i="1"/>
  <c r="O364" i="1"/>
  <c r="O323" i="1"/>
  <c r="O318" i="1"/>
  <c r="P268" i="1"/>
  <c r="N280" i="1"/>
  <c r="P285" i="1"/>
  <c r="N300" i="1"/>
  <c r="N269" i="1"/>
  <c r="M278" i="1"/>
  <c r="P280" i="1"/>
  <c r="M287" i="1"/>
  <c r="O290" i="1"/>
  <c r="M298" i="1"/>
  <c r="M301" i="1"/>
  <c r="O303" i="1"/>
  <c r="M307" i="1"/>
  <c r="O309" i="1"/>
  <c r="O312" i="1"/>
  <c r="M316" i="1"/>
  <c r="M319" i="1"/>
  <c r="N322" i="1"/>
  <c r="M326" i="1"/>
  <c r="M329" i="1"/>
  <c r="N337" i="1"/>
  <c r="M340" i="1"/>
  <c r="N345" i="1"/>
  <c r="P354" i="1"/>
  <c r="M360" i="1"/>
  <c r="P364" i="1"/>
  <c r="O366" i="1"/>
  <c r="O356" i="1"/>
  <c r="O346" i="1"/>
  <c r="O287" i="1"/>
  <c r="P327" i="1"/>
  <c r="O363" i="1"/>
  <c r="N360" i="1"/>
  <c r="O353" i="1"/>
  <c r="N350" i="1"/>
  <c r="O343" i="1"/>
  <c r="N340" i="1"/>
  <c r="P288" i="1"/>
  <c r="O349" i="1"/>
  <c r="P365" i="1"/>
  <c r="P355" i="1"/>
  <c r="P281" i="1"/>
  <c r="P276" i="1"/>
  <c r="N277" i="1"/>
  <c r="N276" i="1"/>
  <c r="N344" i="1"/>
  <c r="P344" i="1"/>
  <c r="M349" i="1"/>
  <c r="P330" i="1"/>
  <c r="P349" i="1"/>
  <c r="P359" i="1"/>
  <c r="M355" i="1"/>
  <c r="M365" i="1"/>
  <c r="P356" i="1"/>
  <c r="N355" i="1"/>
  <c r="N365" i="1"/>
  <c r="O355" i="1"/>
  <c r="O365" i="1"/>
  <c r="N343" i="1"/>
  <c r="N353" i="1"/>
  <c r="N363" i="1"/>
  <c r="M366" i="1"/>
  <c r="P366" i="1"/>
  <c r="M346" i="1"/>
  <c r="M356" i="1"/>
  <c r="N341" i="1"/>
  <c r="N346" i="1"/>
  <c r="N351" i="1"/>
  <c r="N356" i="1"/>
  <c r="N361" i="1"/>
  <c r="N366" i="1"/>
  <c r="I257" i="1"/>
  <c r="I256" i="1"/>
  <c r="K255" i="1"/>
  <c r="H257" i="1"/>
  <c r="K256" i="1"/>
  <c r="J255" i="1"/>
  <c r="K257" i="1"/>
  <c r="H255" i="1"/>
  <c r="J256" i="1"/>
  <c r="H248" i="1"/>
  <c r="H256" i="1"/>
  <c r="I255" i="1"/>
  <c r="D218" i="1"/>
  <c r="D220" i="1" s="1"/>
  <c r="D204" i="1"/>
  <c r="O111" i="1"/>
  <c r="P152" i="1"/>
  <c r="M151" i="1"/>
  <c r="P172" i="1"/>
  <c r="O139" i="1"/>
  <c r="O109" i="1"/>
  <c r="M161" i="1"/>
  <c r="M138" i="1"/>
  <c r="M108" i="1"/>
  <c r="N170" i="1"/>
  <c r="M94" i="1"/>
  <c r="O84" i="1"/>
  <c r="P162" i="1"/>
  <c r="N86" i="1"/>
  <c r="O119" i="1"/>
  <c r="M171" i="1"/>
  <c r="O136" i="1"/>
  <c r="M128" i="1"/>
  <c r="N160" i="1"/>
  <c r="M98" i="1"/>
  <c r="P87" i="1"/>
  <c r="O129" i="1"/>
  <c r="M118" i="1"/>
  <c r="N150" i="1"/>
  <c r="O127" i="1"/>
  <c r="P111" i="1"/>
  <c r="N81" i="1"/>
  <c r="O134" i="1"/>
  <c r="M124" i="1"/>
  <c r="M114" i="1"/>
  <c r="O107" i="1"/>
  <c r="I70" i="1"/>
  <c r="E183" i="1" s="1"/>
  <c r="C14" i="3" s="1"/>
  <c r="O117" i="1"/>
  <c r="M93" i="1"/>
  <c r="M83" i="1"/>
  <c r="M136" i="1"/>
  <c r="M126" i="1"/>
  <c r="M116" i="1"/>
  <c r="D62" i="1"/>
  <c r="O169" i="1"/>
  <c r="O159" i="1"/>
  <c r="O149" i="1"/>
  <c r="O137" i="1"/>
  <c r="N92" i="1"/>
  <c r="N82" i="1"/>
  <c r="M135" i="1"/>
  <c r="M125" i="1"/>
  <c r="M115" i="1"/>
  <c r="N168" i="1"/>
  <c r="N158" i="1"/>
  <c r="N148" i="1"/>
  <c r="N97" i="1"/>
  <c r="N87" i="1"/>
  <c r="M140" i="1"/>
  <c r="M130" i="1"/>
  <c r="M120" i="1"/>
  <c r="M110" i="1"/>
  <c r="N173" i="1"/>
  <c r="N163" i="1"/>
  <c r="N153" i="1"/>
  <c r="M99" i="1"/>
  <c r="P90" i="1"/>
  <c r="N134" i="1"/>
  <c r="O121" i="1"/>
  <c r="M134" i="1"/>
  <c r="N119" i="1"/>
  <c r="O126" i="1"/>
  <c r="O116" i="1"/>
  <c r="M89" i="1"/>
  <c r="O87" i="1"/>
  <c r="P131" i="1"/>
  <c r="M119" i="1"/>
  <c r="M88" i="1"/>
  <c r="O131" i="1"/>
  <c r="P116" i="1"/>
  <c r="O95" i="1"/>
  <c r="M79" i="1"/>
  <c r="P80" i="1"/>
  <c r="N129" i="1"/>
  <c r="N114" i="1"/>
  <c r="P100" i="1"/>
  <c r="M106" i="1"/>
  <c r="M129" i="1"/>
  <c r="O85" i="1"/>
  <c r="P97" i="1"/>
  <c r="P106" i="1"/>
  <c r="P126" i="1"/>
  <c r="N96" i="1"/>
  <c r="O81" i="1"/>
  <c r="N177" i="1"/>
  <c r="N147" i="1"/>
  <c r="N100" i="1"/>
  <c r="N90" i="1"/>
  <c r="N80" i="1"/>
  <c r="M133" i="1"/>
  <c r="M123" i="1"/>
  <c r="M113" i="1"/>
  <c r="N176" i="1"/>
  <c r="N166" i="1"/>
  <c r="N156" i="1"/>
  <c r="O97" i="1"/>
  <c r="N139" i="1"/>
  <c r="N124" i="1"/>
  <c r="N146" i="1"/>
  <c r="O91" i="1"/>
  <c r="O114" i="1"/>
  <c r="N157" i="1"/>
  <c r="N99" i="1"/>
  <c r="N89" i="1"/>
  <c r="N79" i="1"/>
  <c r="O132" i="1"/>
  <c r="O122" i="1"/>
  <c r="O112" i="1"/>
  <c r="M175" i="1"/>
  <c r="M165" i="1"/>
  <c r="M155" i="1"/>
  <c r="O94" i="1"/>
  <c r="M139" i="1"/>
  <c r="N109" i="1"/>
  <c r="P78" i="1"/>
  <c r="O124" i="1"/>
  <c r="N167" i="1"/>
  <c r="P98" i="1"/>
  <c r="P88" i="1"/>
  <c r="N106" i="1"/>
  <c r="M131" i="1"/>
  <c r="M121" i="1"/>
  <c r="M111" i="1"/>
  <c r="M174" i="1"/>
  <c r="M164" i="1"/>
  <c r="M154" i="1"/>
  <c r="N91" i="1"/>
  <c r="P136" i="1"/>
  <c r="P121" i="1"/>
  <c r="M109" i="1"/>
  <c r="N84" i="1"/>
  <c r="M91" i="1"/>
  <c r="O98" i="1"/>
  <c r="P91" i="1"/>
  <c r="N85" i="1"/>
  <c r="O78" i="1"/>
  <c r="P134" i="1"/>
  <c r="P119" i="1"/>
  <c r="P114" i="1"/>
  <c r="P109" i="1"/>
  <c r="M170" i="1"/>
  <c r="M150" i="1"/>
  <c r="O172" i="1"/>
  <c r="P165" i="1"/>
  <c r="O162" i="1"/>
  <c r="N159" i="1"/>
  <c r="P155" i="1"/>
  <c r="O152" i="1"/>
  <c r="N94" i="1"/>
  <c r="M78" i="1"/>
  <c r="M81" i="1"/>
  <c r="N95" i="1"/>
  <c r="O88" i="1"/>
  <c r="P81" i="1"/>
  <c r="P139" i="1"/>
  <c r="N137" i="1"/>
  <c r="N132" i="1"/>
  <c r="P129" i="1"/>
  <c r="N127" i="1"/>
  <c r="P124" i="1"/>
  <c r="N122" i="1"/>
  <c r="N117" i="1"/>
  <c r="N112" i="1"/>
  <c r="N107" i="1"/>
  <c r="M160" i="1"/>
  <c r="P175" i="1"/>
  <c r="N169" i="1"/>
  <c r="N149" i="1"/>
  <c r="M100" i="1"/>
  <c r="M90" i="1"/>
  <c r="M80" i="1"/>
  <c r="N98" i="1"/>
  <c r="P94" i="1"/>
  <c r="N88" i="1"/>
  <c r="P84" i="1"/>
  <c r="N78" i="1"/>
  <c r="M137" i="1"/>
  <c r="M132" i="1"/>
  <c r="M127" i="1"/>
  <c r="M122" i="1"/>
  <c r="M117" i="1"/>
  <c r="M112" i="1"/>
  <c r="M107" i="1"/>
  <c r="M169" i="1"/>
  <c r="M159" i="1"/>
  <c r="M149" i="1"/>
  <c r="O175" i="1"/>
  <c r="N172" i="1"/>
  <c r="P168" i="1"/>
  <c r="O165" i="1"/>
  <c r="N162" i="1"/>
  <c r="P158" i="1"/>
  <c r="O155" i="1"/>
  <c r="N152" i="1"/>
  <c r="P148" i="1"/>
  <c r="M146" i="1"/>
  <c r="M168" i="1"/>
  <c r="M158" i="1"/>
  <c r="M148" i="1"/>
  <c r="N175" i="1"/>
  <c r="P171" i="1"/>
  <c r="O168" i="1"/>
  <c r="N165" i="1"/>
  <c r="P161" i="1"/>
  <c r="O158" i="1"/>
  <c r="N155" i="1"/>
  <c r="P151" i="1"/>
  <c r="O148" i="1"/>
  <c r="M177" i="1"/>
  <c r="M167" i="1"/>
  <c r="M157" i="1"/>
  <c r="M147" i="1"/>
  <c r="P174" i="1"/>
  <c r="O171" i="1"/>
  <c r="P164" i="1"/>
  <c r="O161" i="1"/>
  <c r="P154" i="1"/>
  <c r="O151" i="1"/>
  <c r="M97" i="1"/>
  <c r="M87" i="1"/>
  <c r="O100" i="1"/>
  <c r="P93" i="1"/>
  <c r="O90" i="1"/>
  <c r="P83" i="1"/>
  <c r="O80" i="1"/>
  <c r="O106" i="1"/>
  <c r="P138" i="1"/>
  <c r="N136" i="1"/>
  <c r="P133" i="1"/>
  <c r="N131" i="1"/>
  <c r="P128" i="1"/>
  <c r="N126" i="1"/>
  <c r="P123" i="1"/>
  <c r="N121" i="1"/>
  <c r="P118" i="1"/>
  <c r="N116" i="1"/>
  <c r="P113" i="1"/>
  <c r="N111" i="1"/>
  <c r="P108" i="1"/>
  <c r="M176" i="1"/>
  <c r="M166" i="1"/>
  <c r="M156" i="1"/>
  <c r="P177" i="1"/>
  <c r="O174" i="1"/>
  <c r="N171" i="1"/>
  <c r="P167" i="1"/>
  <c r="O164" i="1"/>
  <c r="N161" i="1"/>
  <c r="P157" i="1"/>
  <c r="O154" i="1"/>
  <c r="N151" i="1"/>
  <c r="P147" i="1"/>
  <c r="M96" i="1"/>
  <c r="M86" i="1"/>
  <c r="P96" i="1"/>
  <c r="O93" i="1"/>
  <c r="P86" i="1"/>
  <c r="O83" i="1"/>
  <c r="O138" i="1"/>
  <c r="O133" i="1"/>
  <c r="O128" i="1"/>
  <c r="O123" i="1"/>
  <c r="O118" i="1"/>
  <c r="O113" i="1"/>
  <c r="O108" i="1"/>
  <c r="O177" i="1"/>
  <c r="N174" i="1"/>
  <c r="P170" i="1"/>
  <c r="O167" i="1"/>
  <c r="N164" i="1"/>
  <c r="P160" i="1"/>
  <c r="O157" i="1"/>
  <c r="N154" i="1"/>
  <c r="P150" i="1"/>
  <c r="O147" i="1"/>
  <c r="M95" i="1"/>
  <c r="M85" i="1"/>
  <c r="P99" i="1"/>
  <c r="O96" i="1"/>
  <c r="N93" i="1"/>
  <c r="P89" i="1"/>
  <c r="O86" i="1"/>
  <c r="N83" i="1"/>
  <c r="P79" i="1"/>
  <c r="P140" i="1"/>
  <c r="N138" i="1"/>
  <c r="P135" i="1"/>
  <c r="N133" i="1"/>
  <c r="P130" i="1"/>
  <c r="N128" i="1"/>
  <c r="P125" i="1"/>
  <c r="N123" i="1"/>
  <c r="P120" i="1"/>
  <c r="N118" i="1"/>
  <c r="P115" i="1"/>
  <c r="N113" i="1"/>
  <c r="P110" i="1"/>
  <c r="N108" i="1"/>
  <c r="P173" i="1"/>
  <c r="O170" i="1"/>
  <c r="P163" i="1"/>
  <c r="O160" i="1"/>
  <c r="P153" i="1"/>
  <c r="O150" i="1"/>
  <c r="M84" i="1"/>
  <c r="O99" i="1"/>
  <c r="P92" i="1"/>
  <c r="O89" i="1"/>
  <c r="P82" i="1"/>
  <c r="O79" i="1"/>
  <c r="O140" i="1"/>
  <c r="O135" i="1"/>
  <c r="O130" i="1"/>
  <c r="O125" i="1"/>
  <c r="O120" i="1"/>
  <c r="O115" i="1"/>
  <c r="O110" i="1"/>
  <c r="M173" i="1"/>
  <c r="M163" i="1"/>
  <c r="M153" i="1"/>
  <c r="P176" i="1"/>
  <c r="O173" i="1"/>
  <c r="P166" i="1"/>
  <c r="O163" i="1"/>
  <c r="P156" i="1"/>
  <c r="O153" i="1"/>
  <c r="P146" i="1"/>
  <c r="P95" i="1"/>
  <c r="O92" i="1"/>
  <c r="P85" i="1"/>
  <c r="O82" i="1"/>
  <c r="N140" i="1"/>
  <c r="P137" i="1"/>
  <c r="N135" i="1"/>
  <c r="P132" i="1"/>
  <c r="N130" i="1"/>
  <c r="P127" i="1"/>
  <c r="N125" i="1"/>
  <c r="P122" i="1"/>
  <c r="N120" i="1"/>
  <c r="P117" i="1"/>
  <c r="N115" i="1"/>
  <c r="P112" i="1"/>
  <c r="N110" i="1"/>
  <c r="P107" i="1"/>
  <c r="M172" i="1"/>
  <c r="M162" i="1"/>
  <c r="M152" i="1"/>
  <c r="O176" i="1"/>
  <c r="P169" i="1"/>
  <c r="O166" i="1"/>
  <c r="P159" i="1"/>
  <c r="O156" i="1"/>
  <c r="P149" i="1"/>
  <c r="O146" i="1"/>
  <c r="M92" i="1"/>
  <c r="M82" i="1"/>
  <c r="H70" i="1"/>
  <c r="D183" i="1" s="1"/>
  <c r="B14" i="3" s="1"/>
  <c r="E62" i="1"/>
  <c r="B23" i="1"/>
  <c r="B25" i="1"/>
  <c r="D52" i="1"/>
  <c r="D47" i="1"/>
  <c r="D36" i="1"/>
  <c r="D31" i="1"/>
  <c r="M371" i="1" l="1"/>
  <c r="O372" i="1"/>
  <c r="P371" i="1"/>
  <c r="M372" i="1"/>
  <c r="N371" i="1"/>
  <c r="N376" i="1" s="1"/>
  <c r="J258" i="1"/>
  <c r="F372" i="1" s="1"/>
  <c r="D5" i="3" s="1"/>
  <c r="N372" i="1"/>
  <c r="N377" i="1" s="1"/>
  <c r="O371" i="1"/>
  <c r="P372" i="1"/>
  <c r="M373" i="1"/>
  <c r="I258" i="1"/>
  <c r="E372" i="1" s="1"/>
  <c r="C5" i="3" s="1"/>
  <c r="P373" i="1"/>
  <c r="O373" i="1"/>
  <c r="N373" i="1"/>
  <c r="N378" i="1" s="1"/>
  <c r="H258" i="1"/>
  <c r="D372" i="1" s="1"/>
  <c r="K258" i="1"/>
  <c r="G372" i="1" s="1"/>
  <c r="J234" i="1"/>
  <c r="K234" i="1"/>
  <c r="K232" i="1"/>
  <c r="I233" i="1"/>
  <c r="J233" i="1"/>
  <c r="K233" i="1"/>
  <c r="I232" i="1"/>
  <c r="J232" i="1"/>
  <c r="J235" i="1" s="1"/>
  <c r="F371" i="1" s="1"/>
  <c r="D4" i="3" s="1"/>
  <c r="I234" i="1"/>
  <c r="K70" i="1"/>
  <c r="G183" i="1" s="1"/>
  <c r="E14" i="3" s="1"/>
  <c r="J70" i="1"/>
  <c r="F183" i="1" s="1"/>
  <c r="D14" i="3" s="1"/>
  <c r="B26" i="1"/>
  <c r="N180" i="1"/>
  <c r="E184" i="1" s="1"/>
  <c r="C15" i="3" s="1"/>
  <c r="M180" i="1"/>
  <c r="P180" i="1"/>
  <c r="G184" i="1" s="1"/>
  <c r="E15" i="3" s="1"/>
  <c r="O180" i="1"/>
  <c r="F184" i="1" s="1"/>
  <c r="D15" i="3" s="1"/>
  <c r="D41" i="1"/>
  <c r="M374" i="1" l="1"/>
  <c r="D373" i="1" s="1"/>
  <c r="B6" i="3" s="1"/>
  <c r="P374" i="1"/>
  <c r="G373" i="1" s="1"/>
  <c r="E6" i="3" s="1"/>
  <c r="O374" i="1"/>
  <c r="F373" i="1" s="1"/>
  <c r="D6" i="3" s="1"/>
  <c r="D8" i="3" s="1"/>
  <c r="N374" i="1"/>
  <c r="E373" i="1" s="1"/>
  <c r="C6" i="3" s="1"/>
  <c r="B5" i="3"/>
  <c r="E5" i="3"/>
  <c r="D184" i="1"/>
  <c r="I235" i="1"/>
  <c r="E371" i="1" s="1"/>
  <c r="C4" i="3" s="1"/>
  <c r="K235" i="1"/>
  <c r="G371" i="1" s="1"/>
  <c r="E4" i="3" s="1"/>
  <c r="D43" i="1"/>
  <c r="I56" i="1" l="1"/>
  <c r="E182" i="1" s="1"/>
  <c r="J56" i="1"/>
  <c r="E185" i="1"/>
  <c r="C13" i="3"/>
  <c r="C16" i="3" s="1"/>
  <c r="D374" i="1"/>
  <c r="G374" i="1"/>
  <c r="E8" i="3"/>
  <c r="B8" i="3"/>
  <c r="F374" i="1"/>
  <c r="C8" i="3"/>
  <c r="C18" i="3" s="1"/>
  <c r="E374" i="1"/>
  <c r="D185" i="1"/>
  <c r="B15" i="3"/>
  <c r="B16" i="3" s="1"/>
  <c r="F182" i="1"/>
  <c r="K56" i="1"/>
  <c r="G182" i="1" s="1"/>
  <c r="B18" i="3" l="1"/>
  <c r="E376" i="1"/>
  <c r="G185" i="1"/>
  <c r="E13" i="3"/>
  <c r="E16" i="3" s="1"/>
  <c r="E18" i="3" s="1"/>
  <c r="F185" i="1"/>
  <c r="D13" i="3"/>
  <c r="D16" i="3" s="1"/>
  <c r="D18" i="3" s="1"/>
  <c r="B19" i="3" s="1"/>
  <c r="E187" i="1" l="1"/>
</calcChain>
</file>

<file path=xl/sharedStrings.xml><?xml version="1.0" encoding="utf-8"?>
<sst xmlns="http://schemas.openxmlformats.org/spreadsheetml/2006/main" count="413" uniqueCount="175">
  <si>
    <t>TOTAL ANNUAL COSTS - 3 Centers (Polokwane, Witbank, &amp; East London)</t>
  </si>
  <si>
    <t>Baseline</t>
  </si>
  <si>
    <t>Operational</t>
  </si>
  <si>
    <t>MF -&gt; DC Shipping</t>
  </si>
  <si>
    <t>DC -&gt; City Shipping</t>
  </si>
  <si>
    <t>TOTAL COSTS</t>
  </si>
  <si>
    <t>TOTAL ANNUAL COSTS - 1 Center (New Castle)</t>
  </si>
  <si>
    <t>Difference in Costs</t>
  </si>
  <si>
    <t>Total Difference (10 year)</t>
  </si>
  <si>
    <t>Change Inputs:</t>
  </si>
  <si>
    <t>Short Haul</t>
  </si>
  <si>
    <t>Long Haul</t>
  </si>
  <si>
    <t xml:space="preserve"> or less km radius</t>
  </si>
  <si>
    <t>or more km radius</t>
  </si>
  <si>
    <t>USD per ton km</t>
  </si>
  <si>
    <t>hL per ton</t>
  </si>
  <si>
    <t>Scenario Analysis - Two Week Volume</t>
  </si>
  <si>
    <t>Baseline Volume</t>
  </si>
  <si>
    <t>Eastern Cape</t>
  </si>
  <si>
    <t>hL</t>
  </si>
  <si>
    <t>(total volume hL)</t>
  </si>
  <si>
    <t>Limpopo</t>
  </si>
  <si>
    <t>Mpumalanga</t>
  </si>
  <si>
    <t>ONE DISTRIBUTION CENTER</t>
  </si>
  <si>
    <t>Costs of Establishing Distribution Center</t>
  </si>
  <si>
    <t>hL of total needed storage</t>
  </si>
  <si>
    <t>L per barrel</t>
  </si>
  <si>
    <t>hL per barrel</t>
  </si>
  <si>
    <t>barrels of capacity</t>
  </si>
  <si>
    <t>sq ft per barrel space</t>
  </si>
  <si>
    <t>mininum storage needed in sq ft</t>
  </si>
  <si>
    <t>Building Costs</t>
  </si>
  <si>
    <t>warehouse total sq ft</t>
  </si>
  <si>
    <t xml:space="preserve">cost per square foot </t>
  </si>
  <si>
    <t>cost of building warehouse</t>
  </si>
  <si>
    <t>Land</t>
  </si>
  <si>
    <t>sq ft per acre</t>
  </si>
  <si>
    <t>cost per acre</t>
  </si>
  <si>
    <t>cost of 2.3 acres of land</t>
  </si>
  <si>
    <t>Operations &amp; General Admin Cost</t>
  </si>
  <si>
    <t xml:space="preserve">Maintenance </t>
  </si>
  <si>
    <t>per sq ft storage</t>
  </si>
  <si>
    <t>annual maintence costs</t>
  </si>
  <si>
    <t>CAPEX - Equipment</t>
  </si>
  <si>
    <t>per month</t>
  </si>
  <si>
    <t>per year</t>
  </si>
  <si>
    <t>Labor</t>
  </si>
  <si>
    <t>employees</t>
  </si>
  <si>
    <t>salary</t>
  </si>
  <si>
    <t>Total labor costs</t>
  </si>
  <si>
    <t>Annual Operational and Startup Costs</t>
  </si>
  <si>
    <t>Cost of Shipping from Production to Distribution Center</t>
  </si>
  <si>
    <t>hL Predictions</t>
  </si>
  <si>
    <t>annual volume growth of hL</t>
  </si>
  <si>
    <t>Last 5 weeks of 2023</t>
  </si>
  <si>
    <t>Frist 5 weeks 2021</t>
  </si>
  <si>
    <t>Average Weekly sales growth</t>
  </si>
  <si>
    <t>longitude</t>
  </si>
  <si>
    <t>latitude</t>
  </si>
  <si>
    <t>Manufacturing:</t>
  </si>
  <si>
    <t>Johannesburg</t>
  </si>
  <si>
    <t>Distribution:</t>
  </si>
  <si>
    <t>New Castle</t>
  </si>
  <si>
    <t>miles apart</t>
  </si>
  <si>
    <t>From Manfacturer Shipping Costs</t>
  </si>
  <si>
    <t>Cost of Shipping from Distribution Center to City</t>
  </si>
  <si>
    <t>Customer Cities:</t>
  </si>
  <si>
    <t>Eastern Cape - East London (27.896626, -33.02985)</t>
  </si>
  <si>
    <t>Two Week hL Projections</t>
  </si>
  <si>
    <t>From Distributor to Customer Costs of Shipping</t>
  </si>
  <si>
    <t>City</t>
  </si>
  <si>
    <t>Longitude</t>
  </si>
  <si>
    <t>Latitude</t>
  </si>
  <si>
    <t>km apart</t>
  </si>
  <si>
    <t>Adelaide</t>
  </si>
  <si>
    <t>Butterworth</t>
  </si>
  <si>
    <t>Despatch</t>
  </si>
  <si>
    <t>Dimbaza</t>
  </si>
  <si>
    <t>Ducats</t>
  </si>
  <si>
    <t>East London</t>
  </si>
  <si>
    <t>Gqeberha</t>
  </si>
  <si>
    <t>Ibhayi</t>
  </si>
  <si>
    <t>Kariega</t>
  </si>
  <si>
    <t>Kwa Nobuhle</t>
  </si>
  <si>
    <t>KwaMaqoma</t>
  </si>
  <si>
    <t>Lady Frere</t>
  </si>
  <si>
    <t>Mdantsane</t>
  </si>
  <si>
    <t>Middelburg</t>
  </si>
  <si>
    <t>Motherwell</t>
  </si>
  <si>
    <t>Mount Frere</t>
  </si>
  <si>
    <t>Mthatha</t>
  </si>
  <si>
    <t>Port Alfred</t>
  </si>
  <si>
    <t>Qonce</t>
  </si>
  <si>
    <t>Queenstown</t>
  </si>
  <si>
    <t>Sterkspruit</t>
  </si>
  <si>
    <t>Tsolo</t>
  </si>
  <si>
    <t>Zwelitsha</t>
  </si>
  <si>
    <t>Limpopo - Polokwane (29.66372843, -23.93612866)</t>
  </si>
  <si>
    <t>Dan</t>
  </si>
  <si>
    <t>Driekop</t>
  </si>
  <si>
    <t>Ga-Chuene</t>
  </si>
  <si>
    <t>Ga-Matlapa</t>
  </si>
  <si>
    <t>Ga-Molekana</t>
  </si>
  <si>
    <t>Groblersdal</t>
  </si>
  <si>
    <t>Hlogotlou</t>
  </si>
  <si>
    <t>Jane Furse</t>
  </si>
  <si>
    <t>Ka-Ndengeza</t>
  </si>
  <si>
    <t>Laaste Hoop</t>
  </si>
  <si>
    <t>Lebowakgomo</t>
  </si>
  <si>
    <t>Lenyenye-A</t>
  </si>
  <si>
    <t>Lephalale</t>
  </si>
  <si>
    <t>Louis Trichardt</t>
  </si>
  <si>
    <t>Madzivhanani</t>
  </si>
  <si>
    <t>Makgwareng</t>
  </si>
  <si>
    <t>Malamulele</t>
  </si>
  <si>
    <t>Mankweng</t>
  </si>
  <si>
    <t>Mashamptane</t>
  </si>
  <si>
    <t>Matipane</t>
  </si>
  <si>
    <t>Mmatseke</t>
  </si>
  <si>
    <t>Mogoto</t>
  </si>
  <si>
    <t>Mokerong</t>
  </si>
  <si>
    <t>Mokopane</t>
  </si>
  <si>
    <t>Moleke</t>
  </si>
  <si>
    <t>Mphakane</t>
  </si>
  <si>
    <t>Nkowankowa</t>
  </si>
  <si>
    <t>Polokwane</t>
  </si>
  <si>
    <t>Ramalema</t>
  </si>
  <si>
    <t>Rietfontein Village</t>
  </si>
  <si>
    <t>Rotterdam</t>
  </si>
  <si>
    <t>Takataka</t>
  </si>
  <si>
    <t>The Oaks</t>
  </si>
  <si>
    <t>Thohoyandou</t>
  </si>
  <si>
    <t>Tubatse</t>
  </si>
  <si>
    <t>MPUMALANGA - Witbank (29.224304, -25.890628)</t>
  </si>
  <si>
    <t>Alverton</t>
  </si>
  <si>
    <t>Barberton</t>
  </si>
  <si>
    <t>Belfast</t>
  </si>
  <si>
    <t>Bethal</t>
  </si>
  <si>
    <t>Clau-Clau</t>
  </si>
  <si>
    <t>Cork</t>
  </si>
  <si>
    <t>Elukwatini</t>
  </si>
  <si>
    <t>Emalahleni</t>
  </si>
  <si>
    <t>eMangweni</t>
  </si>
  <si>
    <t>Embalenhle</t>
  </si>
  <si>
    <t>Entokozweni</t>
  </si>
  <si>
    <t>Hazyview</t>
  </si>
  <si>
    <t>Kabokweni</t>
  </si>
  <si>
    <t>Kamhlushwa-A</t>
  </si>
  <si>
    <t>Kanyamazane</t>
  </si>
  <si>
    <t>KwaMhlanga</t>
  </si>
  <si>
    <t>Libangeni</t>
  </si>
  <si>
    <t>Mathys Zyn Loop-A</t>
  </si>
  <si>
    <t>Matsulu</t>
  </si>
  <si>
    <t>Mbangwane</t>
  </si>
  <si>
    <t>Mbombela</t>
  </si>
  <si>
    <t>Nelspruit</t>
  </si>
  <si>
    <t>Ogies</t>
  </si>
  <si>
    <t>Phola</t>
  </si>
  <si>
    <t>Shatale</t>
  </si>
  <si>
    <t>Siyabuswa</t>
  </si>
  <si>
    <t>Tekwane</t>
  </si>
  <si>
    <t>Thulamahashe</t>
  </si>
  <si>
    <t>Tonga</t>
  </si>
  <si>
    <t>Tweefontein</t>
  </si>
  <si>
    <t>White River</t>
  </si>
  <si>
    <t>TOTAL ANNUAL COSTS</t>
  </si>
  <si>
    <t>Total Costs</t>
  </si>
  <si>
    <t>10-year total</t>
  </si>
  <si>
    <t>THREE DISTRIBUTION CENTERS</t>
  </si>
  <si>
    <t>Storage Costs</t>
  </si>
  <si>
    <t>cost of 0.92 acres of land</t>
  </si>
  <si>
    <t>Mpumalonga</t>
  </si>
  <si>
    <t>Witbank</t>
  </si>
  <si>
    <t>Two Week Manufacturer to Distribution Center Shipping Costs</t>
  </si>
  <si>
    <t>Two Week Distribution Center to Customer CityShipping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</si>
</sst>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USD]\ #,##0.00_);\([$USD]\ #,##0.00\)"/>
    <numFmt numFmtId="165" formatCode="0.000"/>
    <numFmt numFmtId="166" formatCode="_(* #,##0_);_(* \(#,##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color theme="1"/>
      <name val="Calibri"/>
    </font>
    <font>
      <b/>
      <sz val="12"/>
      <color theme="1"/>
      <name val="Calibri"/>
    </font>
    <font>
      <sz val="12"/>
      <color rgb="FFFFFFFF"/>
      <name val="Calibri"/>
    </font>
    <font>
      <b/>
      <sz val="12"/>
      <color rgb="FFFFFFFF"/>
      <name val="Calibri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CB9CA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43" fontId="8" fillId="0" borderId="0" applyFont="0" applyFill="0" applyBorder="0" applyAlignment="0" applyProtection="0"/>
  </cellStyleXfs>
  <cellXfs count="7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4" fontId="0" fillId="0" borderId="0" xfId="2" applyFont="1"/>
    <xf numFmtId="0" fontId="2" fillId="0" borderId="0" xfId="0" applyFont="1"/>
    <xf numFmtId="9" fontId="0" fillId="0" borderId="0" xfId="0" applyNumberFormat="1"/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164" fontId="0" fillId="0" borderId="0" xfId="0" applyNumberFormat="1"/>
    <xf numFmtId="0" fontId="0" fillId="0" borderId="0" xfId="0" applyAlignment="1">
      <alignment horizontal="left" indent="1"/>
    </xf>
    <xf numFmtId="0" fontId="5" fillId="0" borderId="0" xfId="0" applyFont="1" applyAlignment="1">
      <alignment horizontal="left" indent="1"/>
    </xf>
    <xf numFmtId="6" fontId="0" fillId="0" borderId="0" xfId="0" applyNumberFormat="1"/>
    <xf numFmtId="6" fontId="0" fillId="0" borderId="2" xfId="0" applyNumberFormat="1" applyBorder="1"/>
    <xf numFmtId="0" fontId="0" fillId="0" borderId="2" xfId="0" applyBorder="1"/>
    <xf numFmtId="8" fontId="0" fillId="0" borderId="0" xfId="0" applyNumberFormat="1"/>
    <xf numFmtId="8" fontId="0" fillId="0" borderId="2" xfId="0" applyNumberFormat="1" applyBorder="1"/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0" xfId="0" applyAlignment="1">
      <alignment horizontal="centerContinuous" vertical="center"/>
    </xf>
    <xf numFmtId="0" fontId="10" fillId="0" borderId="0" xfId="0" applyFont="1"/>
    <xf numFmtId="8" fontId="0" fillId="3" borderId="0" xfId="0" applyNumberFormat="1" applyFill="1"/>
    <xf numFmtId="0" fontId="5" fillId="0" borderId="0" xfId="0" applyFont="1" applyAlignment="1">
      <alignment horizontal="right"/>
    </xf>
    <xf numFmtId="0" fontId="0" fillId="0" borderId="2" xfId="0" applyBorder="1" applyAlignment="1">
      <alignment horizontal="right"/>
    </xf>
    <xf numFmtId="165" fontId="0" fillId="0" borderId="0" xfId="0" applyNumberFormat="1"/>
    <xf numFmtId="2" fontId="0" fillId="0" borderId="0" xfId="0" applyNumberFormat="1"/>
    <xf numFmtId="0" fontId="11" fillId="0" borderId="0" xfId="0" applyFont="1"/>
    <xf numFmtId="44" fontId="0" fillId="3" borderId="0" xfId="2" applyFont="1" applyFill="1"/>
    <xf numFmtId="0" fontId="12" fillId="0" borderId="0" xfId="0" applyFont="1"/>
    <xf numFmtId="0" fontId="12" fillId="0" borderId="0" xfId="0" applyFont="1" applyAlignment="1">
      <alignment horizontal="left" indent="1"/>
    </xf>
    <xf numFmtId="0" fontId="1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2" applyNumberFormat="1" applyFont="1" applyAlignment="1">
      <alignment horizontal="right" wrapText="1"/>
    </xf>
    <xf numFmtId="2" fontId="2" fillId="0" borderId="0" xfId="0" applyNumberFormat="1" applyFont="1" applyAlignment="1">
      <alignment horizontal="center"/>
    </xf>
    <xf numFmtId="165" fontId="12" fillId="0" borderId="0" xfId="0" applyNumberFormat="1" applyFont="1"/>
    <xf numFmtId="165" fontId="0" fillId="0" borderId="0" xfId="0" quotePrefix="1" applyNumberFormat="1"/>
    <xf numFmtId="165" fontId="2" fillId="0" borderId="0" xfId="0" applyNumberFormat="1" applyFont="1" applyAlignment="1">
      <alignment horizontal="center"/>
    </xf>
    <xf numFmtId="165" fontId="5" fillId="0" borderId="0" xfId="0" applyNumberFormat="1" applyFont="1"/>
    <xf numFmtId="44" fontId="0" fillId="0" borderId="0" xfId="2" applyFont="1" applyFill="1"/>
    <xf numFmtId="43" fontId="0" fillId="0" borderId="0" xfId="1" applyFont="1"/>
    <xf numFmtId="166" fontId="0" fillId="0" borderId="0" xfId="1" applyNumberFormat="1" applyFont="1"/>
    <xf numFmtId="0" fontId="2" fillId="0" borderId="0" xfId="0" applyFont="1" applyAlignment="1">
      <alignment horizontal="right"/>
    </xf>
    <xf numFmtId="44" fontId="0" fillId="0" borderId="0" xfId="0" applyNumberFormat="1"/>
    <xf numFmtId="0" fontId="2" fillId="0" borderId="2" xfId="0" applyFont="1" applyBorder="1" applyAlignment="1">
      <alignment horizontal="right"/>
    </xf>
    <xf numFmtId="44" fontId="0" fillId="0" borderId="2" xfId="2" applyFont="1" applyFill="1" applyBorder="1"/>
    <xf numFmtId="0" fontId="2" fillId="3" borderId="0" xfId="0" applyFont="1" applyFill="1" applyAlignment="1">
      <alignment horizontal="right"/>
    </xf>
    <xf numFmtId="43" fontId="0" fillId="0" borderId="0" xfId="0" applyNumberFormat="1"/>
    <xf numFmtId="0" fontId="5" fillId="0" borderId="1" xfId="0" applyFont="1" applyBorder="1"/>
    <xf numFmtId="2" fontId="0" fillId="0" borderId="1" xfId="0" applyNumberFormat="1" applyBorder="1"/>
    <xf numFmtId="0" fontId="2" fillId="0" borderId="1" xfId="0" applyFont="1" applyBorder="1" applyAlignment="1">
      <alignment horizontal="center"/>
    </xf>
    <xf numFmtId="0" fontId="0" fillId="3" borderId="0" xfId="0" applyFill="1" applyAlignment="1">
      <alignment vertical="center" wrapText="1"/>
    </xf>
    <xf numFmtId="0" fontId="0" fillId="3" borderId="2" xfId="0" applyFill="1" applyBorder="1" applyAlignment="1">
      <alignment vertical="center" wrapText="1"/>
    </xf>
    <xf numFmtId="8" fontId="0" fillId="3" borderId="2" xfId="0" applyNumberFormat="1" applyFill="1" applyBorder="1"/>
    <xf numFmtId="6" fontId="0" fillId="3" borderId="0" xfId="0" applyNumberFormat="1" applyFill="1"/>
    <xf numFmtId="6" fontId="0" fillId="3" borderId="2" xfId="0" applyNumberFormat="1" applyFill="1" applyBorder="1"/>
    <xf numFmtId="1" fontId="2" fillId="0" borderId="0" xfId="0" applyNumberFormat="1" applyFont="1" applyAlignment="1">
      <alignment horizontal="center"/>
    </xf>
    <xf numFmtId="44" fontId="0" fillId="3" borderId="0" xfId="0" applyNumberFormat="1" applyFill="1"/>
    <xf numFmtId="44" fontId="0" fillId="3" borderId="2" xfId="0" applyNumberFormat="1" applyFill="1" applyBorder="1"/>
    <xf numFmtId="0" fontId="14" fillId="0" borderId="0" xfId="0" applyFont="1"/>
    <xf numFmtId="0" fontId="15" fillId="0" borderId="0" xfId="0" applyFont="1" applyAlignment="1">
      <alignment horizontal="right"/>
    </xf>
    <xf numFmtId="8" fontId="14" fillId="0" borderId="0" xfId="0" applyNumberFormat="1" applyFont="1"/>
    <xf numFmtId="0" fontId="14" fillId="0" borderId="0" xfId="0" applyFont="1" applyAlignment="1">
      <alignment horizontal="right"/>
    </xf>
    <xf numFmtId="165" fontId="14" fillId="0" borderId="0" xfId="0" applyNumberFormat="1" applyFont="1"/>
    <xf numFmtId="0" fontId="15" fillId="5" borderId="0" xfId="0" applyFont="1" applyFill="1"/>
    <xf numFmtId="0" fontId="15" fillId="5" borderId="0" xfId="0" applyFont="1" applyFill="1" applyAlignment="1">
      <alignment horizontal="right"/>
    </xf>
    <xf numFmtId="0" fontId="15" fillId="6" borderId="0" xfId="0" applyFont="1" applyFill="1" applyAlignment="1">
      <alignment horizontal="right"/>
    </xf>
    <xf numFmtId="8" fontId="14" fillId="6" borderId="0" xfId="0" applyNumberFormat="1" applyFont="1" applyFill="1"/>
    <xf numFmtId="0" fontId="15" fillId="5" borderId="0" xfId="0" applyFont="1" applyFill="1" applyAlignment="1">
      <alignment horizontal="center"/>
    </xf>
    <xf numFmtId="0" fontId="16" fillId="0" borderId="0" xfId="0" applyFont="1"/>
    <xf numFmtId="8" fontId="16" fillId="7" borderId="0" xfId="0" applyNumberFormat="1" applyFont="1" applyFill="1"/>
    <xf numFmtId="0" fontId="17" fillId="7" borderId="0" xfId="0" applyFont="1" applyFill="1" applyAlignment="1">
      <alignment horizontal="right"/>
    </xf>
    <xf numFmtId="0" fontId="17" fillId="4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 wrapText="1"/>
    </xf>
    <xf numFmtId="0" fontId="2" fillId="3" borderId="0" xfId="0" applyFont="1" applyFill="1" applyAlignment="1">
      <alignment horizontal="left" vertical="center" wrapText="1"/>
    </xf>
    <xf numFmtId="165" fontId="0" fillId="2" borderId="0" xfId="0" applyNumberFormat="1" applyFill="1" applyAlignment="1">
      <alignment horizontal="center"/>
    </xf>
  </cellXfs>
  <cellStyles count="5">
    <cellStyle name="Comma" xfId="1" builtinId="3"/>
    <cellStyle name="Comma 2" xfId="4" xr:uid="{3667A264-F6AE-804A-A988-BD5A30396E3C}"/>
    <cellStyle name="Currency" xfId="2" builtinId="4"/>
    <cellStyle name="Normal" xfId="0" builtinId="0"/>
    <cellStyle name="Normal 2" xfId="3" xr:uid="{1590A84A-45C1-9E48-9B80-B276F240E2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3E9FC-A6B9-8D46-911A-C9D579A35C19}">
  <dimension ref="A2:E27"/>
  <sheetViews>
    <sheetView topLeftCell="A3" workbookViewId="0">
      <selection activeCell="G22" sqref="G22"/>
    </sheetView>
  </sheetViews>
  <sheetFormatPr defaultColWidth="11" defaultRowHeight="15.5" x14ac:dyDescent="0.35"/>
  <cols>
    <col min="1" max="1" width="19.75" style="61" customWidth="1"/>
    <col min="2" max="2" width="12.5" style="61" bestFit="1" customWidth="1"/>
    <col min="3" max="3" width="14.33203125" style="61" bestFit="1" customWidth="1"/>
    <col min="4" max="5" width="13.33203125" style="61" bestFit="1" customWidth="1"/>
    <col min="6" max="16384" width="11" style="61"/>
  </cols>
  <sheetData>
    <row r="2" spans="1:5" ht="22.5" customHeight="1" x14ac:dyDescent="0.35">
      <c r="A2" s="74" t="s">
        <v>0</v>
      </c>
      <c r="B2" s="74"/>
      <c r="C2" s="74"/>
      <c r="D2" s="74"/>
      <c r="E2" s="74"/>
    </row>
    <row r="3" spans="1:5" x14ac:dyDescent="0.35">
      <c r="A3" s="66"/>
      <c r="B3" s="70" t="s">
        <v>1</v>
      </c>
      <c r="C3" s="70">
        <v>1</v>
      </c>
      <c r="D3" s="70">
        <v>5</v>
      </c>
      <c r="E3" s="70">
        <v>10</v>
      </c>
    </row>
    <row r="4" spans="1:5" x14ac:dyDescent="0.35">
      <c r="A4" s="67" t="s">
        <v>2</v>
      </c>
      <c r="B4" s="63">
        <f>Calculations!D371</f>
        <v>0</v>
      </c>
      <c r="C4" s="63">
        <f>Calculations!E371</f>
        <v>8493961.8052892573</v>
      </c>
      <c r="D4" s="63">
        <f>Calculations!F371</f>
        <v>2638736.64</v>
      </c>
      <c r="E4" s="63">
        <f>Calculations!G371</f>
        <v>2638736.64</v>
      </c>
    </row>
    <row r="5" spans="1:5" x14ac:dyDescent="0.35">
      <c r="A5" s="67" t="s">
        <v>3</v>
      </c>
      <c r="B5" s="63">
        <f>Calculations!D372</f>
        <v>212167.56513864253</v>
      </c>
      <c r="C5" s="63">
        <f>Calculations!E372</f>
        <v>222775.94339557469</v>
      </c>
      <c r="D5" s="63">
        <f>Calculations!F372</f>
        <v>270785.55154696724</v>
      </c>
      <c r="E5" s="63">
        <f>Calculations!G372</f>
        <v>345598.60683078773</v>
      </c>
    </row>
    <row r="6" spans="1:5" x14ac:dyDescent="0.35">
      <c r="A6" s="67" t="s">
        <v>4</v>
      </c>
      <c r="B6" s="63">
        <f>Calculations!D373</f>
        <v>130535.85030523084</v>
      </c>
      <c r="C6" s="63">
        <f>Calculations!E373</f>
        <v>137062.64282049239</v>
      </c>
      <c r="D6" s="63">
        <f>Calculations!F373</f>
        <v>166600.4989898261</v>
      </c>
      <c r="E6" s="63">
        <f>Calculations!G373</f>
        <v>212629.14516401498</v>
      </c>
    </row>
    <row r="7" spans="1:5" ht="3.75" customHeight="1" x14ac:dyDescent="0.35">
      <c r="A7" s="68"/>
      <c r="B7" s="69"/>
      <c r="C7" s="69"/>
      <c r="D7" s="69"/>
      <c r="E7" s="69"/>
    </row>
    <row r="8" spans="1:5" x14ac:dyDescent="0.35">
      <c r="A8" s="73" t="s">
        <v>5</v>
      </c>
      <c r="B8" s="72">
        <f>SUM(B4:B6)</f>
        <v>342703.41544387338</v>
      </c>
      <c r="C8" s="72">
        <f t="shared" ref="C8:D8" si="0">SUM(C4:C6)</f>
        <v>8853800.3915053252</v>
      </c>
      <c r="D8" s="72">
        <f t="shared" si="0"/>
        <v>3076122.6905367933</v>
      </c>
      <c r="E8" s="72">
        <f>SUM(E4:E6)</f>
        <v>3196964.3919948027</v>
      </c>
    </row>
    <row r="9" spans="1:5" x14ac:dyDescent="0.35">
      <c r="A9" s="71"/>
      <c r="B9" s="71"/>
      <c r="C9" s="71"/>
      <c r="D9" s="71"/>
      <c r="E9" s="71"/>
    </row>
    <row r="11" spans="1:5" ht="24.75" customHeight="1" x14ac:dyDescent="0.35">
      <c r="A11" s="74" t="s">
        <v>6</v>
      </c>
      <c r="B11" s="74"/>
      <c r="C11" s="74"/>
      <c r="D11" s="74"/>
      <c r="E11" s="74"/>
    </row>
    <row r="12" spans="1:5" x14ac:dyDescent="0.35">
      <c r="A12" s="66"/>
      <c r="B12" s="70" t="s">
        <v>1</v>
      </c>
      <c r="C12" s="70">
        <v>1</v>
      </c>
      <c r="D12" s="70">
        <v>5</v>
      </c>
      <c r="E12" s="70">
        <v>10</v>
      </c>
    </row>
    <row r="13" spans="1:5" x14ac:dyDescent="0.35">
      <c r="A13" s="67" t="s">
        <v>2</v>
      </c>
      <c r="B13" s="63">
        <f>Calculations!D182</f>
        <v>0</v>
      </c>
      <c r="C13" s="63">
        <f>Calculations!E182</f>
        <v>9013306.5392102841</v>
      </c>
      <c r="D13" s="63">
        <f>Calculations!F182</f>
        <v>2507500.7999999998</v>
      </c>
      <c r="E13" s="63">
        <f>Calculations!G182</f>
        <v>2507500.7999999998</v>
      </c>
    </row>
    <row r="14" spans="1:5" x14ac:dyDescent="0.35">
      <c r="A14" s="67" t="s">
        <v>3</v>
      </c>
      <c r="B14" s="63">
        <f>Calculations!D183</f>
        <v>111716.27946771326</v>
      </c>
      <c r="C14" s="63">
        <f>Calculations!E183</f>
        <v>117302.0934410989</v>
      </c>
      <c r="D14" s="63">
        <f>Calculations!F183</f>
        <v>142581.42771573976</v>
      </c>
      <c r="E14" s="63">
        <f>Calculations!G183</f>
        <v>181974.04734852511</v>
      </c>
    </row>
    <row r="15" spans="1:5" x14ac:dyDescent="0.35">
      <c r="A15" s="67" t="s">
        <v>4</v>
      </c>
      <c r="B15" s="63">
        <f>Calculations!D184</f>
        <v>180669.59964840687</v>
      </c>
      <c r="C15" s="63">
        <f>Calculations!E184</f>
        <v>189703.07963082724</v>
      </c>
      <c r="D15" s="63">
        <f>Calculations!F184</f>
        <v>230585.2789355182</v>
      </c>
      <c r="E15" s="63">
        <f>Calculations!G184</f>
        <v>294291.74008932151</v>
      </c>
    </row>
    <row r="16" spans="1:5" x14ac:dyDescent="0.35">
      <c r="A16" s="68" t="s">
        <v>5</v>
      </c>
      <c r="B16" s="69">
        <f>SUM(B13:B15)</f>
        <v>292385.87911612017</v>
      </c>
      <c r="C16" s="69">
        <f t="shared" ref="C16:E16" si="1">SUM(C13:C15)</f>
        <v>9320311.7122822106</v>
      </c>
      <c r="D16" s="69">
        <f t="shared" si="1"/>
        <v>2880667.5066512576</v>
      </c>
      <c r="E16" s="69">
        <f t="shared" si="1"/>
        <v>2983766.5874378462</v>
      </c>
    </row>
    <row r="18" spans="1:5" x14ac:dyDescent="0.35">
      <c r="A18" s="62" t="s">
        <v>7</v>
      </c>
      <c r="B18" s="63">
        <f>B8-B16</f>
        <v>50317.536327753216</v>
      </c>
      <c r="C18" s="63">
        <f>C8-C16</f>
        <v>-466511.32077688538</v>
      </c>
      <c r="D18" s="63">
        <f t="shared" ref="D18:E18" si="2">D8-D16</f>
        <v>195455.18388553569</v>
      </c>
      <c r="E18" s="63">
        <f t="shared" si="2"/>
        <v>213197.80455695651</v>
      </c>
    </row>
    <row r="19" spans="1:5" x14ac:dyDescent="0.35">
      <c r="A19" s="62" t="s">
        <v>8</v>
      </c>
      <c r="B19" s="63">
        <f>SUM(B18:E18)</f>
        <v>-7540.7960066399537</v>
      </c>
    </row>
    <row r="21" spans="1:5" x14ac:dyDescent="0.35">
      <c r="A21" s="61" t="s">
        <v>9</v>
      </c>
    </row>
    <row r="22" spans="1:5" x14ac:dyDescent="0.35">
      <c r="A22" s="64" t="s">
        <v>10</v>
      </c>
      <c r="D22" s="64" t="s">
        <v>11</v>
      </c>
    </row>
    <row r="23" spans="1:5" x14ac:dyDescent="0.35">
      <c r="A23" s="61">
        <f>150*1.6</f>
        <v>240</v>
      </c>
      <c r="B23" s="61" t="s">
        <v>12</v>
      </c>
      <c r="D23" s="61">
        <f>A23+1</f>
        <v>241</v>
      </c>
      <c r="E23" s="61" t="s">
        <v>13</v>
      </c>
    </row>
    <row r="24" spans="1:5" x14ac:dyDescent="0.35">
      <c r="A24" s="61">
        <v>0.4</v>
      </c>
      <c r="B24" s="61" t="s">
        <v>14</v>
      </c>
      <c r="D24" s="61">
        <v>0.11</v>
      </c>
      <c r="E24" s="61" t="s">
        <v>14</v>
      </c>
    </row>
    <row r="27" spans="1:5" x14ac:dyDescent="0.35">
      <c r="C27" s="65"/>
    </row>
  </sheetData>
  <mergeCells count="2">
    <mergeCell ref="A2:E2"/>
    <mergeCell ref="A11:E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8B9C8-6C23-3645-B3F3-485FD123D06F}">
  <dimension ref="A3:P378"/>
  <sheetViews>
    <sheetView tabSelected="1" topLeftCell="A53" workbookViewId="0">
      <selection activeCell="F60" sqref="E60:F60"/>
    </sheetView>
  </sheetViews>
  <sheetFormatPr defaultColWidth="11" defaultRowHeight="15.5" x14ac:dyDescent="0.35"/>
  <cols>
    <col min="1" max="1" width="8.58203125" customWidth="1"/>
    <col min="2" max="2" width="19.08203125" customWidth="1"/>
    <col min="3" max="3" width="16.33203125" bestFit="1" customWidth="1"/>
    <col min="4" max="4" width="15.5" customWidth="1"/>
    <col min="5" max="5" width="27.83203125" bestFit="1" customWidth="1"/>
    <col min="6" max="6" width="17.08203125" bestFit="1" customWidth="1"/>
    <col min="7" max="7" width="18.08203125" bestFit="1" customWidth="1"/>
    <col min="8" max="8" width="16.25" bestFit="1" customWidth="1"/>
    <col min="9" max="9" width="25.25" bestFit="1" customWidth="1"/>
    <col min="10" max="10" width="14" bestFit="1" customWidth="1"/>
    <col min="11" max="11" width="13.33203125" bestFit="1" customWidth="1"/>
    <col min="12" max="12" width="15.83203125" bestFit="1" customWidth="1"/>
    <col min="13" max="13" width="11.5" bestFit="1" customWidth="1"/>
    <col min="14" max="14" width="11.58203125" customWidth="1"/>
    <col min="15" max="15" width="10.5" bestFit="1" customWidth="1"/>
    <col min="16" max="16" width="11.5" bestFit="1" customWidth="1"/>
    <col min="17" max="18" width="17.5" bestFit="1" customWidth="1"/>
  </cols>
  <sheetData>
    <row r="3" spans="1:7" x14ac:dyDescent="0.35">
      <c r="B3" s="1" t="s">
        <v>10</v>
      </c>
      <c r="E3" s="1" t="s">
        <v>11</v>
      </c>
    </row>
    <row r="4" spans="1:7" x14ac:dyDescent="0.35">
      <c r="B4">
        <f>Summary!A23</f>
        <v>240</v>
      </c>
      <c r="C4" t="s">
        <v>12</v>
      </c>
      <c r="E4">
        <f>B4+1</f>
        <v>241</v>
      </c>
      <c r="F4" t="s">
        <v>13</v>
      </c>
    </row>
    <row r="5" spans="1:7" x14ac:dyDescent="0.35">
      <c r="B5">
        <f>Summary!A24</f>
        <v>0.4</v>
      </c>
      <c r="C5" t="s">
        <v>14</v>
      </c>
      <c r="E5">
        <f>Summary!D24</f>
        <v>0.11</v>
      </c>
      <c r="F5" t="s">
        <v>14</v>
      </c>
    </row>
    <row r="8" spans="1:7" x14ac:dyDescent="0.35">
      <c r="B8" s="10">
        <v>28.316839999999999</v>
      </c>
      <c r="C8" t="s">
        <v>15</v>
      </c>
    </row>
    <row r="9" spans="1:7" x14ac:dyDescent="0.35">
      <c r="F9" s="21"/>
      <c r="G9" s="21"/>
    </row>
    <row r="11" spans="1:7" x14ac:dyDescent="0.35">
      <c r="A11" s="4" t="s">
        <v>16</v>
      </c>
    </row>
    <row r="12" spans="1:7" x14ac:dyDescent="0.35">
      <c r="A12" t="s">
        <v>17</v>
      </c>
    </row>
    <row r="13" spans="1:7" x14ac:dyDescent="0.35">
      <c r="B13" s="6" t="s">
        <v>18</v>
      </c>
      <c r="C13">
        <v>1350.16</v>
      </c>
      <c r="D13" t="s">
        <v>19</v>
      </c>
      <c r="E13">
        <f>SUM(C13:C15)</f>
        <v>4107.3899999999994</v>
      </c>
      <c r="F13" t="s">
        <v>20</v>
      </c>
    </row>
    <row r="14" spans="1:7" x14ac:dyDescent="0.35">
      <c r="A14" s="5"/>
      <c r="B14" s="6" t="s">
        <v>21</v>
      </c>
      <c r="C14">
        <v>1104.83</v>
      </c>
      <c r="D14" t="s">
        <v>19</v>
      </c>
    </row>
    <row r="15" spans="1:7" x14ac:dyDescent="0.35">
      <c r="B15" s="6" t="s">
        <v>22</v>
      </c>
      <c r="C15">
        <v>1652.4</v>
      </c>
      <c r="D15" t="s">
        <v>19</v>
      </c>
    </row>
    <row r="18" spans="2:5" x14ac:dyDescent="0.35">
      <c r="B18" s="22" t="s">
        <v>23</v>
      </c>
    </row>
    <row r="19" spans="2:5" x14ac:dyDescent="0.35">
      <c r="B19" s="8" t="s">
        <v>24</v>
      </c>
    </row>
    <row r="20" spans="2:5" x14ac:dyDescent="0.35">
      <c r="B20">
        <v>7000</v>
      </c>
      <c r="C20" t="s">
        <v>25</v>
      </c>
    </row>
    <row r="21" spans="2:5" x14ac:dyDescent="0.35">
      <c r="B21">
        <v>50</v>
      </c>
      <c r="C21" t="s">
        <v>26</v>
      </c>
    </row>
    <row r="22" spans="2:5" x14ac:dyDescent="0.35">
      <c r="B22" s="16">
        <v>0.5</v>
      </c>
      <c r="C22" s="16" t="s">
        <v>27</v>
      </c>
    </row>
    <row r="23" spans="2:5" x14ac:dyDescent="0.35">
      <c r="B23">
        <f>B20/B22</f>
        <v>14000</v>
      </c>
      <c r="C23" t="s">
        <v>28</v>
      </c>
    </row>
    <row r="25" spans="2:5" x14ac:dyDescent="0.35">
      <c r="B25" s="16">
        <f>1.92*1.33</f>
        <v>2.5535999999999999</v>
      </c>
      <c r="C25" s="16" t="s">
        <v>29</v>
      </c>
    </row>
    <row r="26" spans="2:5" x14ac:dyDescent="0.35">
      <c r="B26" s="42">
        <f>B25*B23</f>
        <v>35750.400000000001</v>
      </c>
      <c r="C26" t="s">
        <v>30</v>
      </c>
    </row>
    <row r="27" spans="2:5" x14ac:dyDescent="0.35">
      <c r="C27" s="7"/>
    </row>
    <row r="28" spans="2:5" x14ac:dyDescent="0.35">
      <c r="C28" t="s">
        <v>31</v>
      </c>
      <c r="D28" s="49"/>
    </row>
    <row r="29" spans="2:5" x14ac:dyDescent="0.35">
      <c r="D29" s="43">
        <v>100000</v>
      </c>
      <c r="E29" t="s">
        <v>32</v>
      </c>
    </row>
    <row r="30" spans="2:5" x14ac:dyDescent="0.35">
      <c r="D30" s="15">
        <v>65</v>
      </c>
      <c r="E30" s="16" t="s">
        <v>33</v>
      </c>
    </row>
    <row r="31" spans="2:5" x14ac:dyDescent="0.35">
      <c r="D31" s="14">
        <f>D29*D30</f>
        <v>6500000</v>
      </c>
      <c r="E31" t="s">
        <v>34</v>
      </c>
    </row>
    <row r="33" spans="3:5" x14ac:dyDescent="0.35">
      <c r="C33" t="s">
        <v>35</v>
      </c>
    </row>
    <row r="34" spans="3:5" x14ac:dyDescent="0.35">
      <c r="D34" s="43">
        <v>43560</v>
      </c>
      <c r="E34" t="s">
        <v>36</v>
      </c>
    </row>
    <row r="35" spans="3:5" x14ac:dyDescent="0.35">
      <c r="D35" s="18">
        <v>2528.98</v>
      </c>
      <c r="E35" s="16" t="s">
        <v>37</v>
      </c>
    </row>
    <row r="36" spans="3:5" x14ac:dyDescent="0.35">
      <c r="D36" s="17">
        <f>D29/D34*D35</f>
        <v>5805.7392102846643</v>
      </c>
      <c r="E36" t="s">
        <v>38</v>
      </c>
    </row>
    <row r="39" spans="3:5" x14ac:dyDescent="0.35">
      <c r="C39" t="s">
        <v>39</v>
      </c>
    </row>
    <row r="40" spans="3:5" x14ac:dyDescent="0.35">
      <c r="D40" t="s">
        <v>40</v>
      </c>
    </row>
    <row r="41" spans="3:5" x14ac:dyDescent="0.35">
      <c r="D41" s="42">
        <f>B25*B23</f>
        <v>35750.400000000001</v>
      </c>
      <c r="E41" t="s">
        <v>30</v>
      </c>
    </row>
    <row r="42" spans="3:5" x14ac:dyDescent="0.35">
      <c r="D42" s="15">
        <v>2</v>
      </c>
      <c r="E42" s="16" t="s">
        <v>41</v>
      </c>
    </row>
    <row r="43" spans="3:5" x14ac:dyDescent="0.35">
      <c r="D43" s="17">
        <f>D41*D42</f>
        <v>71500.800000000003</v>
      </c>
      <c r="E43" t="s">
        <v>42</v>
      </c>
    </row>
    <row r="45" spans="3:5" x14ac:dyDescent="0.35">
      <c r="D45" t="s">
        <v>43</v>
      </c>
    </row>
    <row r="46" spans="3:5" x14ac:dyDescent="0.35">
      <c r="D46" s="14">
        <v>3000</v>
      </c>
      <c r="E46" t="s">
        <v>44</v>
      </c>
    </row>
    <row r="47" spans="3:5" x14ac:dyDescent="0.35">
      <c r="D47" s="14">
        <f>D46*12</f>
        <v>36000</v>
      </c>
      <c r="E47" t="s">
        <v>45</v>
      </c>
    </row>
    <row r="49" spans="2:11" x14ac:dyDescent="0.35">
      <c r="D49" t="s">
        <v>46</v>
      </c>
    </row>
    <row r="50" spans="2:11" x14ac:dyDescent="0.35">
      <c r="D50">
        <v>100</v>
      </c>
      <c r="E50" t="s">
        <v>47</v>
      </c>
    </row>
    <row r="51" spans="2:11" x14ac:dyDescent="0.35">
      <c r="D51" s="15">
        <v>24000</v>
      </c>
      <c r="E51" s="16" t="s">
        <v>48</v>
      </c>
    </row>
    <row r="52" spans="2:11" x14ac:dyDescent="0.35">
      <c r="D52" s="14">
        <f>D51*D50</f>
        <v>2400000</v>
      </c>
      <c r="E52" t="s">
        <v>49</v>
      </c>
    </row>
    <row r="55" spans="2:11" ht="16" customHeight="1" x14ac:dyDescent="0.35">
      <c r="G55" s="76" t="s">
        <v>50</v>
      </c>
      <c r="H55" s="19" t="s">
        <v>1</v>
      </c>
      <c r="I55" s="19">
        <v>1</v>
      </c>
      <c r="J55" s="19">
        <v>5</v>
      </c>
      <c r="K55" s="19">
        <v>10</v>
      </c>
    </row>
    <row r="56" spans="2:11" x14ac:dyDescent="0.35">
      <c r="G56" s="76"/>
      <c r="H56" s="23">
        <v>0</v>
      </c>
      <c r="I56" s="23">
        <f>D52+D47+D43+D36+D31</f>
        <v>9013306.5392102841</v>
      </c>
      <c r="J56" s="23">
        <f>D52+D47+D43</f>
        <v>2507500.7999999998</v>
      </c>
      <c r="K56" s="23">
        <f>D52+D47+D43</f>
        <v>2507500.7999999998</v>
      </c>
    </row>
    <row r="57" spans="2:11" x14ac:dyDescent="0.35">
      <c r="G57" s="1"/>
      <c r="H57" s="17"/>
      <c r="I57" s="17"/>
      <c r="J57" s="17"/>
      <c r="K57" s="17"/>
    </row>
    <row r="58" spans="2:11" x14ac:dyDescent="0.35">
      <c r="B58" s="9" t="s">
        <v>51</v>
      </c>
      <c r="D58" s="17"/>
    </row>
    <row r="59" spans="2:11" x14ac:dyDescent="0.35">
      <c r="B59" s="28" t="s">
        <v>52</v>
      </c>
      <c r="G59" s="1"/>
    </row>
    <row r="60" spans="2:11" x14ac:dyDescent="0.35">
      <c r="B60" s="5">
        <v>0.05</v>
      </c>
      <c r="C60" t="s">
        <v>53</v>
      </c>
      <c r="E60" s="1" t="s">
        <v>54</v>
      </c>
      <c r="F60" t="s">
        <v>55</v>
      </c>
      <c r="G60" t="s">
        <v>56</v>
      </c>
    </row>
    <row r="61" spans="2:11" x14ac:dyDescent="0.35">
      <c r="B61" s="2" t="s">
        <v>1</v>
      </c>
      <c r="C61" s="2">
        <v>1</v>
      </c>
      <c r="D61" s="2">
        <v>5</v>
      </c>
      <c r="E61" s="2">
        <v>10</v>
      </c>
    </row>
    <row r="62" spans="2:11" x14ac:dyDescent="0.35">
      <c r="B62" s="27">
        <f>SUM(C13:C15)</f>
        <v>4107.3899999999994</v>
      </c>
      <c r="C62" s="27">
        <f>$B$62*(1+$B$60)^C$61</f>
        <v>4312.7594999999992</v>
      </c>
      <c r="D62" s="27">
        <f>$B$62*(1+$B$60)^D$61</f>
        <v>5242.1861269968749</v>
      </c>
      <c r="E62" s="27">
        <f>$B$62*(1+$B$60)^E$61</f>
        <v>6690.5055010793949</v>
      </c>
    </row>
    <row r="64" spans="2:11" x14ac:dyDescent="0.35">
      <c r="D64" s="2" t="s">
        <v>57</v>
      </c>
      <c r="E64" s="2" t="s">
        <v>58</v>
      </c>
    </row>
    <row r="65" spans="2:16" x14ac:dyDescent="0.35">
      <c r="B65" s="1" t="s">
        <v>59</v>
      </c>
      <c r="C65" s="24" t="s">
        <v>60</v>
      </c>
      <c r="D65" s="10">
        <v>28.034088000000001</v>
      </c>
      <c r="E65" s="10">
        <v>-26.195246000000001</v>
      </c>
      <c r="G65" s="1"/>
    </row>
    <row r="66" spans="2:16" ht="16" customHeight="1" x14ac:dyDescent="0.35">
      <c r="B66" s="25" t="s">
        <v>61</v>
      </c>
      <c r="C66" s="25" t="s">
        <v>62</v>
      </c>
      <c r="D66" s="16">
        <v>30.107468999999998</v>
      </c>
      <c r="E66" s="16">
        <v>-27.760983</v>
      </c>
      <c r="F66" s="27">
        <f>ACOS(COS(RADIANS(90-$E$65)) *COS(RADIANS(90-E66)) +SIN(RADIANS(90-$E$65)) *SIN(RADIANS(90-E66)) *COS(RADIANS($D$65-D66))) *6371</f>
        <v>269.29561151415021</v>
      </c>
      <c r="G66" t="s">
        <v>63</v>
      </c>
    </row>
    <row r="68" spans="2:16" x14ac:dyDescent="0.35">
      <c r="H68" s="1"/>
    </row>
    <row r="69" spans="2:16" x14ac:dyDescent="0.35">
      <c r="G69" s="76" t="s">
        <v>64</v>
      </c>
      <c r="H69" s="19" t="s">
        <v>1</v>
      </c>
      <c r="I69" s="19">
        <v>1</v>
      </c>
      <c r="J69" s="19">
        <v>5</v>
      </c>
      <c r="K69" s="19">
        <v>10</v>
      </c>
    </row>
    <row r="70" spans="2:16" x14ac:dyDescent="0.35">
      <c r="G70" s="76"/>
      <c r="H70" s="29">
        <f>(B$62/$B$8)*$F$66*$E$5</f>
        <v>4296.7799795274332</v>
      </c>
      <c r="I70" s="29">
        <f>(C$62/$B$8)*$F$66*$E$5</f>
        <v>4511.6189785038041</v>
      </c>
      <c r="J70" s="29">
        <f>(D$62/$B$8)*$F$66*$E$5</f>
        <v>5483.9010659899905</v>
      </c>
      <c r="K70" s="29">
        <f>(E$62/$B$8)*$F$66*$E$5</f>
        <v>6999.0018210971202</v>
      </c>
    </row>
    <row r="72" spans="2:16" x14ac:dyDescent="0.35">
      <c r="G72" s="10"/>
    </row>
    <row r="73" spans="2:16" x14ac:dyDescent="0.35">
      <c r="B73" s="9" t="s">
        <v>65</v>
      </c>
    </row>
    <row r="74" spans="2:16" x14ac:dyDescent="0.35">
      <c r="B74" s="1" t="s">
        <v>61</v>
      </c>
      <c r="C74" s="1" t="s">
        <v>62</v>
      </c>
      <c r="D74">
        <v>30.107468999999998</v>
      </c>
      <c r="E74">
        <v>-27.760983</v>
      </c>
    </row>
    <row r="75" spans="2:16" x14ac:dyDescent="0.35">
      <c r="B75" s="1" t="s">
        <v>66</v>
      </c>
      <c r="C75" s="1"/>
    </row>
    <row r="76" spans="2:16" x14ac:dyDescent="0.35">
      <c r="C76" s="32" t="s">
        <v>67</v>
      </c>
      <c r="H76" s="75" t="s">
        <v>68</v>
      </c>
      <c r="I76" s="75"/>
      <c r="J76" s="75"/>
      <c r="K76" s="75"/>
      <c r="M76" s="75" t="s">
        <v>69</v>
      </c>
      <c r="N76" s="75"/>
      <c r="O76" s="75"/>
      <c r="P76" s="75"/>
    </row>
    <row r="77" spans="2:16" x14ac:dyDescent="0.35">
      <c r="C77" s="33" t="s">
        <v>70</v>
      </c>
      <c r="D77" s="34" t="s">
        <v>71</v>
      </c>
      <c r="E77" s="34" t="s">
        <v>72</v>
      </c>
      <c r="F77" s="33" t="s">
        <v>73</v>
      </c>
      <c r="G77" s="33"/>
      <c r="H77" s="33" t="s">
        <v>1</v>
      </c>
      <c r="I77" s="33">
        <v>1</v>
      </c>
      <c r="J77" s="33">
        <v>5</v>
      </c>
      <c r="K77" s="33">
        <v>10</v>
      </c>
      <c r="M77" s="33" t="s">
        <v>1</v>
      </c>
      <c r="N77" s="33">
        <v>1</v>
      </c>
      <c r="O77" s="33">
        <v>5</v>
      </c>
      <c r="P77" s="33">
        <v>10</v>
      </c>
    </row>
    <row r="78" spans="2:16" x14ac:dyDescent="0.35">
      <c r="C78" s="31" t="s">
        <v>74</v>
      </c>
      <c r="D78" s="30">
        <v>26.307700000000001</v>
      </c>
      <c r="E78" s="30">
        <v>-32.677</v>
      </c>
      <c r="F78" s="27">
        <f t="shared" ref="F78:F100" si="0">ACOS(COS(RADIANS(90-$E$74)) *COS(RADIANS(90-E78)) +SIN(RADIANS(90-$E$74)) *SIN(RADIANS(90-E78)) *COS(RADIANS($D$74-D78))) *6371</f>
        <v>657.21429903981686</v>
      </c>
      <c r="H78" s="37">
        <v>11.59328412</v>
      </c>
      <c r="I78" s="38">
        <f t="shared" ref="I78:K100" si="1">$H78*(1+$B$60)^I$77</f>
        <v>12.172948326</v>
      </c>
      <c r="J78" s="38">
        <f t="shared" si="1"/>
        <v>14.796294771180039</v>
      </c>
      <c r="K78" s="38">
        <f t="shared" si="1"/>
        <v>18.884238209772239</v>
      </c>
      <c r="M78" s="3">
        <f>IF($F78&lt;=$B$4,(H78/$B$8*$F78*$B$5),(H78/$B$8*$F78*$E$5))</f>
        <v>29.597932912516949</v>
      </c>
      <c r="N78" s="3">
        <f t="shared" ref="N78:P93" si="2">IF($F78&lt;=$B$4,(I78/$B$8*$F78*$B$5),(I78/$B$8*$F78*$E$5))</f>
        <v>31.077829558142799</v>
      </c>
      <c r="O78" s="3">
        <f t="shared" si="2"/>
        <v>37.775296064357306</v>
      </c>
      <c r="P78" s="3">
        <f t="shared" si="2"/>
        <v>48.211913884918047</v>
      </c>
    </row>
    <row r="79" spans="2:16" x14ac:dyDescent="0.35">
      <c r="C79" s="31" t="s">
        <v>75</v>
      </c>
      <c r="D79" s="30">
        <v>28.144600000000001</v>
      </c>
      <c r="E79" s="30">
        <v>-32.332299999999996</v>
      </c>
      <c r="F79" s="27">
        <f t="shared" si="0"/>
        <v>542.24741823653756</v>
      </c>
      <c r="H79" s="37">
        <v>7.600923259</v>
      </c>
      <c r="I79" s="38">
        <f t="shared" si="1"/>
        <v>7.9809694219500003</v>
      </c>
      <c r="J79" s="38">
        <f t="shared" si="1"/>
        <v>9.7009182134391132</v>
      </c>
      <c r="K79" s="38">
        <f t="shared" si="1"/>
        <v>12.38110305513278</v>
      </c>
      <c r="M79" s="3">
        <f t="shared" ref="M79:M100" si="3">IF($F79&lt;=$B$4,(H79/$B$8*$F79*$B$5),(H79/$B$8*$F79*$E$5))</f>
        <v>16.010752311159997</v>
      </c>
      <c r="N79" s="3">
        <f t="shared" si="2"/>
        <v>16.811289926718</v>
      </c>
      <c r="O79" s="3">
        <f t="shared" si="2"/>
        <v>20.434227976487772</v>
      </c>
      <c r="P79" s="3">
        <f t="shared" si="2"/>
        <v>26.079828410313024</v>
      </c>
    </row>
    <row r="80" spans="2:16" x14ac:dyDescent="0.35">
      <c r="C80" s="31" t="s">
        <v>76</v>
      </c>
      <c r="D80" s="30">
        <v>25.496248000000001</v>
      </c>
      <c r="E80" s="30">
        <v>-33.800293000000003</v>
      </c>
      <c r="F80" s="27">
        <f t="shared" si="0"/>
        <v>802.88366089664703</v>
      </c>
      <c r="H80" s="37">
        <v>94.088876729999996</v>
      </c>
      <c r="I80" s="38">
        <f t="shared" si="1"/>
        <v>98.7933205665</v>
      </c>
      <c r="J80" s="38">
        <f t="shared" si="1"/>
        <v>120.0838986068343</v>
      </c>
      <c r="K80" s="38">
        <f t="shared" si="1"/>
        <v>153.26086574502204</v>
      </c>
      <c r="M80" s="3">
        <f t="shared" si="3"/>
        <v>293.45316772104275</v>
      </c>
      <c r="N80" s="3">
        <f t="shared" si="2"/>
        <v>308.12582610709489</v>
      </c>
      <c r="O80" s="3">
        <f t="shared" si="2"/>
        <v>374.52886741958702</v>
      </c>
      <c r="P80" s="3">
        <f t="shared" si="2"/>
        <v>478.00428811162584</v>
      </c>
    </row>
    <row r="81" spans="3:16" x14ac:dyDescent="0.35">
      <c r="C81" s="31" t="s">
        <v>77</v>
      </c>
      <c r="D81" s="30">
        <v>27.214426</v>
      </c>
      <c r="E81" s="30">
        <v>-32.834358000000002</v>
      </c>
      <c r="F81" s="27">
        <f t="shared" si="0"/>
        <v>628.71900620488861</v>
      </c>
      <c r="H81" s="37">
        <v>29.13368225</v>
      </c>
      <c r="I81" s="38">
        <f t="shared" si="1"/>
        <v>30.590366362499999</v>
      </c>
      <c r="J81" s="38">
        <f t="shared" si="1"/>
        <v>37.182781503408521</v>
      </c>
      <c r="K81" s="38">
        <f t="shared" si="1"/>
        <v>47.455698475266324</v>
      </c>
      <c r="M81" s="3">
        <f t="shared" si="3"/>
        <v>71.154089673988707</v>
      </c>
      <c r="N81" s="3">
        <f t="shared" si="2"/>
        <v>74.711794157688161</v>
      </c>
      <c r="O81" s="3">
        <f t="shared" si="2"/>
        <v>90.812652747383424</v>
      </c>
      <c r="P81" s="3">
        <f t="shared" si="2"/>
        <v>115.90251434320045</v>
      </c>
    </row>
    <row r="82" spans="3:16" x14ac:dyDescent="0.35">
      <c r="C82" s="31" t="s">
        <v>78</v>
      </c>
      <c r="D82" s="30">
        <v>27.904299999999999</v>
      </c>
      <c r="E82" s="30">
        <v>-32.927900000000001</v>
      </c>
      <c r="F82" s="27">
        <f t="shared" si="0"/>
        <v>612.1485636933387</v>
      </c>
      <c r="H82" s="37">
        <v>11.47994619</v>
      </c>
      <c r="I82" s="38">
        <f t="shared" si="1"/>
        <v>12.053943499500001</v>
      </c>
      <c r="J82" s="38">
        <f t="shared" si="1"/>
        <v>14.651643660789123</v>
      </c>
      <c r="K82" s="38">
        <f t="shared" si="1"/>
        <v>18.699622664585164</v>
      </c>
      <c r="M82" s="3">
        <f t="shared" si="3"/>
        <v>27.298864663690747</v>
      </c>
      <c r="N82" s="3">
        <f t="shared" si="2"/>
        <v>28.663807896875294</v>
      </c>
      <c r="O82" s="3">
        <f t="shared" si="2"/>
        <v>34.841037647451266</v>
      </c>
      <c r="P82" s="3">
        <f t="shared" si="2"/>
        <v>44.466973967810432</v>
      </c>
    </row>
    <row r="83" spans="3:16" x14ac:dyDescent="0.35">
      <c r="C83" s="31" t="s">
        <v>79</v>
      </c>
      <c r="D83" s="30">
        <v>27.9039</v>
      </c>
      <c r="E83" s="30">
        <v>-32.993341000000001</v>
      </c>
      <c r="F83" s="27">
        <f t="shared" si="0"/>
        <v>618.97088041648067</v>
      </c>
      <c r="H83" s="37">
        <v>20.65925107</v>
      </c>
      <c r="I83" s="38">
        <f t="shared" si="1"/>
        <v>21.692213623500002</v>
      </c>
      <c r="J83" s="38">
        <f t="shared" si="1"/>
        <v>26.367021235699401</v>
      </c>
      <c r="K83" s="38">
        <f t="shared" si="1"/>
        <v>33.651743061169107</v>
      </c>
      <c r="M83" s="3">
        <f t="shared" si="3"/>
        <v>49.674406840231192</v>
      </c>
      <c r="N83" s="3">
        <f t="shared" si="2"/>
        <v>52.158127182242765</v>
      </c>
      <c r="O83" s="3">
        <f t="shared" si="2"/>
        <v>63.398529578310963</v>
      </c>
      <c r="P83" s="3">
        <f t="shared" si="2"/>
        <v>80.914374390409179</v>
      </c>
    </row>
    <row r="84" spans="3:16" x14ac:dyDescent="0.35">
      <c r="C84" s="31" t="s">
        <v>80</v>
      </c>
      <c r="D84" s="30">
        <v>25.565287999999999</v>
      </c>
      <c r="E84" s="30">
        <v>-33.975603999999997</v>
      </c>
      <c r="F84" s="27">
        <f t="shared" si="0"/>
        <v>815.51436404586036</v>
      </c>
      <c r="H84" s="37">
        <v>45.115967310000002</v>
      </c>
      <c r="I84" s="38">
        <f t="shared" si="1"/>
        <v>47.371765675500001</v>
      </c>
      <c r="J84" s="38">
        <f t="shared" si="1"/>
        <v>57.58067725210573</v>
      </c>
      <c r="K84" s="38">
        <f t="shared" si="1"/>
        <v>73.489156733125711</v>
      </c>
      <c r="M84" s="3">
        <f t="shared" si="3"/>
        <v>142.92552180271994</v>
      </c>
      <c r="N84" s="3">
        <f t="shared" si="2"/>
        <v>150.07179789285595</v>
      </c>
      <c r="O84" s="3">
        <f t="shared" si="2"/>
        <v>182.41320828750327</v>
      </c>
      <c r="P84" s="3">
        <f t="shared" si="2"/>
        <v>232.81061449381264</v>
      </c>
    </row>
    <row r="85" spans="3:16" x14ac:dyDescent="0.35">
      <c r="C85" s="31" t="s">
        <v>81</v>
      </c>
      <c r="D85" s="30">
        <v>25.6022</v>
      </c>
      <c r="E85" s="30">
        <v>-33.866399999999999</v>
      </c>
      <c r="F85" s="27">
        <f t="shared" si="0"/>
        <v>803.50336021465296</v>
      </c>
      <c r="H85" s="37">
        <v>61.437656969999999</v>
      </c>
      <c r="I85" s="38">
        <f t="shared" si="1"/>
        <v>64.509539818500002</v>
      </c>
      <c r="J85" s="38">
        <f t="shared" si="1"/>
        <v>78.411748834010623</v>
      </c>
      <c r="K85" s="38">
        <f t="shared" si="1"/>
        <v>100.07546932022863</v>
      </c>
      <c r="M85" s="3">
        <f t="shared" si="3"/>
        <v>191.76539543614757</v>
      </c>
      <c r="N85" s="3">
        <f t="shared" si="2"/>
        <v>201.35366520795498</v>
      </c>
      <c r="O85" s="3">
        <f t="shared" si="2"/>
        <v>244.74663852067687</v>
      </c>
      <c r="P85" s="3">
        <f t="shared" si="2"/>
        <v>312.36562222779213</v>
      </c>
    </row>
    <row r="86" spans="3:16" x14ac:dyDescent="0.35">
      <c r="C86" s="31" t="s">
        <v>82</v>
      </c>
      <c r="D86" s="30">
        <v>25.42109</v>
      </c>
      <c r="E86" s="30">
        <v>-33.749685999999997</v>
      </c>
      <c r="F86" s="27">
        <f t="shared" si="0"/>
        <v>802.22896297001864</v>
      </c>
      <c r="H86" s="37">
        <v>152.35679339999999</v>
      </c>
      <c r="I86" s="38">
        <f t="shared" si="1"/>
        <v>159.97463306999998</v>
      </c>
      <c r="J86" s="38">
        <f t="shared" si="1"/>
        <v>194.4501663380417</v>
      </c>
      <c r="K86" s="38">
        <f t="shared" si="1"/>
        <v>248.17316212230074</v>
      </c>
      <c r="M86" s="3">
        <f t="shared" si="3"/>
        <v>474.79710168151297</v>
      </c>
      <c r="N86" s="3">
        <f t="shared" si="2"/>
        <v>498.53695676558857</v>
      </c>
      <c r="O86" s="3">
        <f t="shared" si="2"/>
        <v>605.97478680455265</v>
      </c>
      <c r="P86" s="3">
        <f t="shared" si="2"/>
        <v>773.39444773851881</v>
      </c>
    </row>
    <row r="87" spans="3:16" x14ac:dyDescent="0.35">
      <c r="C87" s="31" t="s">
        <v>83</v>
      </c>
      <c r="D87" s="30">
        <v>25.390599999999999</v>
      </c>
      <c r="E87" s="30">
        <v>-33.812199999999997</v>
      </c>
      <c r="F87" s="27">
        <f t="shared" si="0"/>
        <v>809.53657169679843</v>
      </c>
      <c r="H87" s="37">
        <v>48.728060460000002</v>
      </c>
      <c r="I87" s="38">
        <f t="shared" si="1"/>
        <v>51.164463483000006</v>
      </c>
      <c r="J87" s="38">
        <f t="shared" si="1"/>
        <v>62.190725141483277</v>
      </c>
      <c r="K87" s="38">
        <f t="shared" si="1"/>
        <v>79.372875856580308</v>
      </c>
      <c r="M87" s="3">
        <f t="shared" si="3"/>
        <v>153.23694914843955</v>
      </c>
      <c r="N87" s="3">
        <f t="shared" si="2"/>
        <v>160.89879660586155</v>
      </c>
      <c r="O87" s="3">
        <f t="shared" si="2"/>
        <v>195.57349289190353</v>
      </c>
      <c r="P87" s="3">
        <f t="shared" si="2"/>
        <v>249.60684309166123</v>
      </c>
    </row>
    <row r="88" spans="3:16" x14ac:dyDescent="0.35">
      <c r="C88" s="31" t="s">
        <v>84</v>
      </c>
      <c r="D88" s="30">
        <v>26.659355000000001</v>
      </c>
      <c r="E88" s="30">
        <v>-32.766271000000003</v>
      </c>
      <c r="F88" s="27">
        <f t="shared" si="0"/>
        <v>647.51772837804856</v>
      </c>
      <c r="H88" s="37">
        <v>11.572412119999999</v>
      </c>
      <c r="I88" s="38">
        <f t="shared" si="1"/>
        <v>12.151032726</v>
      </c>
      <c r="J88" s="38">
        <f t="shared" si="1"/>
        <v>14.769656222407537</v>
      </c>
      <c r="K88" s="38">
        <f t="shared" si="1"/>
        <v>18.850239921122139</v>
      </c>
      <c r="M88" s="3">
        <f t="shared" si="3"/>
        <v>29.108743096251903</v>
      </c>
      <c r="N88" s="3">
        <f t="shared" si="2"/>
        <v>30.564180251064499</v>
      </c>
      <c r="O88" s="3">
        <f t="shared" si="2"/>
        <v>37.150952121295461</v>
      </c>
      <c r="P88" s="3">
        <f t="shared" si="2"/>
        <v>47.415075221729666</v>
      </c>
    </row>
    <row r="89" spans="3:16" x14ac:dyDescent="0.35">
      <c r="C89" s="31" t="s">
        <v>85</v>
      </c>
      <c r="D89" s="30">
        <v>27.235299999999999</v>
      </c>
      <c r="E89" s="30">
        <v>-31.674800000000001</v>
      </c>
      <c r="F89" s="27">
        <f t="shared" si="0"/>
        <v>516.00854836259236</v>
      </c>
      <c r="H89" s="37">
        <v>15.89585387</v>
      </c>
      <c r="I89" s="38">
        <f t="shared" si="1"/>
        <v>16.6906465635</v>
      </c>
      <c r="J89" s="38">
        <f t="shared" si="1"/>
        <v>20.287585214475275</v>
      </c>
      <c r="K89" s="38">
        <f t="shared" si="1"/>
        <v>25.892670956882402</v>
      </c>
      <c r="M89" s="3">
        <f t="shared" si="3"/>
        <v>31.863146200235821</v>
      </c>
      <c r="N89" s="3">
        <f t="shared" si="2"/>
        <v>33.456303510247601</v>
      </c>
      <c r="O89" s="3">
        <f t="shared" si="2"/>
        <v>40.666346018602908</v>
      </c>
      <c r="P89" s="3">
        <f t="shared" si="2"/>
        <v>51.901707637788178</v>
      </c>
    </row>
    <row r="90" spans="3:16" x14ac:dyDescent="0.35">
      <c r="C90" s="31" t="s">
        <v>86</v>
      </c>
      <c r="D90" s="30">
        <v>27.758928000000001</v>
      </c>
      <c r="E90" s="30">
        <v>-32.937131000000001</v>
      </c>
      <c r="F90" s="27">
        <f t="shared" si="0"/>
        <v>618.0500063407161</v>
      </c>
      <c r="H90" s="37">
        <v>96.956199569999995</v>
      </c>
      <c r="I90" s="38">
        <f t="shared" si="1"/>
        <v>101.80400954850001</v>
      </c>
      <c r="J90" s="38">
        <f t="shared" si="1"/>
        <v>123.74340988126144</v>
      </c>
      <c r="K90" s="38">
        <f t="shared" si="1"/>
        <v>157.93143251233428</v>
      </c>
      <c r="M90" s="3">
        <f t="shared" si="3"/>
        <v>232.78076838697839</v>
      </c>
      <c r="N90" s="3">
        <f t="shared" si="2"/>
        <v>244.41980680632733</v>
      </c>
      <c r="O90" s="3">
        <f t="shared" si="2"/>
        <v>297.09380279688344</v>
      </c>
      <c r="P90" s="3">
        <f t="shared" si="2"/>
        <v>379.17534284267327</v>
      </c>
    </row>
    <row r="91" spans="3:16" x14ac:dyDescent="0.35">
      <c r="C91" s="31" t="s">
        <v>87</v>
      </c>
      <c r="D91" s="30">
        <v>24.991160000000001</v>
      </c>
      <c r="E91" s="30">
        <v>-31.504885999999999</v>
      </c>
      <c r="F91" s="27">
        <f t="shared" si="0"/>
        <v>646.241318119575</v>
      </c>
      <c r="H91" s="37">
        <v>6.2619663880000003</v>
      </c>
      <c r="I91" s="38">
        <f t="shared" si="1"/>
        <v>6.5750647074000002</v>
      </c>
      <c r="J91" s="38">
        <f t="shared" si="1"/>
        <v>7.9920322459991224</v>
      </c>
      <c r="K91" s="38">
        <f t="shared" si="1"/>
        <v>10.200083402474144</v>
      </c>
      <c r="M91" s="3">
        <f t="shared" si="3"/>
        <v>15.720029331880795</v>
      </c>
      <c r="N91" s="3">
        <f t="shared" si="2"/>
        <v>16.506030798474832</v>
      </c>
      <c r="O91" s="3">
        <f t="shared" si="2"/>
        <v>20.063183598238652</v>
      </c>
      <c r="P91" s="3">
        <f t="shared" si="2"/>
        <v>25.606271311484399</v>
      </c>
    </row>
    <row r="92" spans="3:16" x14ac:dyDescent="0.35">
      <c r="C92" s="31" t="s">
        <v>88</v>
      </c>
      <c r="D92" s="30">
        <v>25.588459</v>
      </c>
      <c r="E92" s="30">
        <v>-33.796117000000002</v>
      </c>
      <c r="F92" s="27">
        <f t="shared" si="0"/>
        <v>797.70967652294246</v>
      </c>
      <c r="H92" s="37">
        <v>281.32985619999999</v>
      </c>
      <c r="I92" s="38">
        <f t="shared" si="1"/>
        <v>295.39634900999999</v>
      </c>
      <c r="J92" s="38">
        <f t="shared" si="1"/>
        <v>359.05610844883637</v>
      </c>
      <c r="K92" s="38">
        <f t="shared" si="1"/>
        <v>458.25669111625029</v>
      </c>
      <c r="M92" s="3">
        <f t="shared" si="3"/>
        <v>871.78337499559518</v>
      </c>
      <c r="N92" s="3">
        <f t="shared" si="2"/>
        <v>915.37254374537508</v>
      </c>
      <c r="O92" s="3">
        <f t="shared" si="2"/>
        <v>1112.6410480009019</v>
      </c>
      <c r="P92" s="3">
        <f t="shared" si="2"/>
        <v>1420.0432552442285</v>
      </c>
    </row>
    <row r="93" spans="3:16" x14ac:dyDescent="0.35">
      <c r="C93" s="31" t="s">
        <v>89</v>
      </c>
      <c r="D93" s="30">
        <v>28.988068999999999</v>
      </c>
      <c r="E93" s="30">
        <v>-30.902286</v>
      </c>
      <c r="F93" s="27">
        <f t="shared" si="0"/>
        <v>365.756562951489</v>
      </c>
      <c r="H93" s="37">
        <v>26.367565890000002</v>
      </c>
      <c r="I93" s="38">
        <f t="shared" si="1"/>
        <v>27.685944184500002</v>
      </c>
      <c r="J93" s="38">
        <f t="shared" si="1"/>
        <v>33.652438193410909</v>
      </c>
      <c r="K93" s="38">
        <f t="shared" si="1"/>
        <v>42.949986399421149</v>
      </c>
      <c r="M93" s="3">
        <f t="shared" si="3"/>
        <v>37.463648135369809</v>
      </c>
      <c r="N93" s="3">
        <f t="shared" si="2"/>
        <v>39.336830542138294</v>
      </c>
      <c r="O93" s="3">
        <f t="shared" si="2"/>
        <v>47.81416337916</v>
      </c>
      <c r="P93" s="3">
        <f t="shared" si="2"/>
        <v>61.024335147184601</v>
      </c>
    </row>
    <row r="94" spans="3:16" x14ac:dyDescent="0.35">
      <c r="C94" s="31" t="s">
        <v>90</v>
      </c>
      <c r="D94" s="30">
        <v>28.793827</v>
      </c>
      <c r="E94" s="30">
        <v>-31.55949</v>
      </c>
      <c r="F94" s="27">
        <f t="shared" si="0"/>
        <v>441.0217422346675</v>
      </c>
      <c r="H94" s="37">
        <v>33.51879933</v>
      </c>
      <c r="I94" s="38">
        <f t="shared" si="1"/>
        <v>35.194739296500003</v>
      </c>
      <c r="J94" s="38">
        <f t="shared" si="1"/>
        <v>42.779425582016358</v>
      </c>
      <c r="K94" s="38">
        <f t="shared" si="1"/>
        <v>54.598592124668308</v>
      </c>
      <c r="M94" s="3">
        <f t="shared" si="3"/>
        <v>57.424384945297177</v>
      </c>
      <c r="N94" s="3">
        <f t="shared" ref="N94:N100" si="4">IF($F94&lt;=$B$4,(I94/$B$8*$F94*$B$5),(I94/$B$8*$F94*$E$5))</f>
        <v>60.295604192562038</v>
      </c>
      <c r="O94" s="3">
        <f t="shared" ref="O94:O100" si="5">IF($F94&lt;=$B$4,(J94/$B$8*$F94*$B$5),(J94/$B$8*$F94*$E$5))</f>
        <v>73.289683743585357</v>
      </c>
      <c r="P94" s="3">
        <f t="shared" ref="P94:P100" si="6">IF($F94&lt;=$B$4,(K94/$B$8*$F94*$B$5),(K94/$B$8*$F94*$E$5))</f>
        <v>93.538272083393963</v>
      </c>
    </row>
    <row r="95" spans="3:16" x14ac:dyDescent="0.35">
      <c r="C95" s="31" t="s">
        <v>91</v>
      </c>
      <c r="D95" s="30">
        <v>26.891317000000001</v>
      </c>
      <c r="E95" s="30">
        <v>-33.593688</v>
      </c>
      <c r="F95" s="27">
        <f t="shared" si="0"/>
        <v>717.68076326427968</v>
      </c>
      <c r="H95" s="37">
        <v>10.743255639999999</v>
      </c>
      <c r="I95" s="38">
        <f t="shared" si="1"/>
        <v>11.280418422</v>
      </c>
      <c r="J95" s="38">
        <f t="shared" si="1"/>
        <v>13.711419094556138</v>
      </c>
      <c r="K95" s="38">
        <f t="shared" si="1"/>
        <v>17.499631386092442</v>
      </c>
      <c r="M95" s="3">
        <f t="shared" si="3"/>
        <v>29.951261152107101</v>
      </c>
      <c r="N95" s="3">
        <f t="shared" si="4"/>
        <v>31.448824209712463</v>
      </c>
      <c r="O95" s="3">
        <f t="shared" si="5"/>
        <v>38.226242382056803</v>
      </c>
      <c r="P95" s="3">
        <f t="shared" si="6"/>
        <v>48.787448355875178</v>
      </c>
    </row>
    <row r="96" spans="3:16" x14ac:dyDescent="0.35">
      <c r="C96" s="31" t="s">
        <v>92</v>
      </c>
      <c r="D96" s="30">
        <v>27.421685</v>
      </c>
      <c r="E96" s="30">
        <v>-32.881695999999998</v>
      </c>
      <c r="F96" s="27">
        <f t="shared" si="0"/>
        <v>624.96224528720813</v>
      </c>
      <c r="H96" s="37">
        <v>10.07867779</v>
      </c>
      <c r="I96" s="38">
        <f t="shared" si="1"/>
        <v>10.582611679500001</v>
      </c>
      <c r="J96" s="38">
        <f t="shared" si="1"/>
        <v>12.863230637755249</v>
      </c>
      <c r="K96" s="38">
        <f t="shared" si="1"/>
        <v>16.417104097152141</v>
      </c>
      <c r="M96" s="3">
        <f t="shared" si="3"/>
        <v>24.468381398776096</v>
      </c>
      <c r="N96" s="3">
        <f t="shared" si="4"/>
        <v>25.691800468714906</v>
      </c>
      <c r="O96" s="3">
        <f t="shared" si="5"/>
        <v>31.228544043475896</v>
      </c>
      <c r="P96" s="3">
        <f t="shared" si="6"/>
        <v>39.856414986407479</v>
      </c>
    </row>
    <row r="97" spans="2:16" x14ac:dyDescent="0.35">
      <c r="C97" s="31" t="s">
        <v>93</v>
      </c>
      <c r="D97" s="30">
        <v>26.978929999999998</v>
      </c>
      <c r="E97" s="30">
        <v>-31.896100000000001</v>
      </c>
      <c r="F97" s="27">
        <f t="shared" si="0"/>
        <v>549.92075901059366</v>
      </c>
      <c r="H97" s="37">
        <v>44.547154050000003</v>
      </c>
      <c r="I97" s="38">
        <f t="shared" si="1"/>
        <v>46.774511752500004</v>
      </c>
      <c r="J97" s="38">
        <f t="shared" si="1"/>
        <v>56.854711375862216</v>
      </c>
      <c r="K97" s="38">
        <f t="shared" si="1"/>
        <v>72.562619870271945</v>
      </c>
      <c r="M97" s="3">
        <f t="shared" si="3"/>
        <v>95.162967490834532</v>
      </c>
      <c r="N97" s="3">
        <f t="shared" si="4"/>
        <v>99.921115865376251</v>
      </c>
      <c r="O97" s="3">
        <f t="shared" si="5"/>
        <v>121.45474084133902</v>
      </c>
      <c r="P97" s="3">
        <f t="shared" si="6"/>
        <v>155.01044641401671</v>
      </c>
    </row>
    <row r="98" spans="2:16" x14ac:dyDescent="0.35">
      <c r="C98" s="31" t="s">
        <v>94</v>
      </c>
      <c r="D98" s="30">
        <v>27.370021999999999</v>
      </c>
      <c r="E98" s="30">
        <v>-30.521267999999999</v>
      </c>
      <c r="F98" s="27">
        <f t="shared" si="0"/>
        <v>406.02771042324218</v>
      </c>
      <c r="H98" s="37">
        <v>14.758365980000001</v>
      </c>
      <c r="I98" s="38">
        <f t="shared" si="1"/>
        <v>15.496284279000001</v>
      </c>
      <c r="J98" s="38">
        <f t="shared" si="1"/>
        <v>18.835830392901247</v>
      </c>
      <c r="K98" s="38">
        <f t="shared" si="1"/>
        <v>24.039823044836993</v>
      </c>
      <c r="M98" s="3">
        <f t="shared" si="3"/>
        <v>23.27779548598091</v>
      </c>
      <c r="N98" s="3">
        <f t="shared" si="4"/>
        <v>24.441685260279954</v>
      </c>
      <c r="O98" s="3">
        <f t="shared" si="5"/>
        <v>29.709021194403167</v>
      </c>
      <c r="P98" s="3">
        <f t="shared" si="6"/>
        <v>37.917075990338489</v>
      </c>
    </row>
    <row r="99" spans="2:16" x14ac:dyDescent="0.35">
      <c r="C99" s="31" t="s">
        <v>95</v>
      </c>
      <c r="D99" s="30">
        <v>28.790997999999998</v>
      </c>
      <c r="E99" s="30">
        <v>-31.331956000000002</v>
      </c>
      <c r="F99" s="27">
        <f t="shared" si="0"/>
        <v>416.98316626748834</v>
      </c>
      <c r="H99" s="37">
        <v>6.0266579379999996</v>
      </c>
      <c r="I99" s="38">
        <f t="shared" si="1"/>
        <v>6.3279908348999996</v>
      </c>
      <c r="J99" s="38">
        <f t="shared" si="1"/>
        <v>7.6917124097636682</v>
      </c>
      <c r="K99" s="38">
        <f t="shared" si="1"/>
        <v>9.8167907326338142</v>
      </c>
      <c r="M99" s="3">
        <f t="shared" si="3"/>
        <v>9.7620935100744486</v>
      </c>
      <c r="N99" s="3">
        <f t="shared" si="4"/>
        <v>10.250198185578171</v>
      </c>
      <c r="O99" s="3">
        <f t="shared" si="5"/>
        <v>12.459179958308928</v>
      </c>
      <c r="P99" s="3">
        <f t="shared" si="6"/>
        <v>15.901421664659203</v>
      </c>
    </row>
    <row r="100" spans="2:16" x14ac:dyDescent="0.35">
      <c r="C100" s="31" t="s">
        <v>96</v>
      </c>
      <c r="D100" s="30">
        <v>27.425003</v>
      </c>
      <c r="E100" s="30">
        <v>-32.92062</v>
      </c>
      <c r="F100" s="27">
        <f t="shared" si="0"/>
        <v>628.75575898754869</v>
      </c>
      <c r="H100" s="37">
        <v>12.70147777</v>
      </c>
      <c r="I100" s="38">
        <f t="shared" si="1"/>
        <v>13.336551658500001</v>
      </c>
      <c r="J100" s="38">
        <f t="shared" si="1"/>
        <v>16.210661894354619</v>
      </c>
      <c r="K100" s="38">
        <f t="shared" si="1"/>
        <v>20.689368891686122</v>
      </c>
      <c r="M100" s="3">
        <f t="shared" si="3"/>
        <v>31.023023844093515</v>
      </c>
      <c r="N100" s="3">
        <f t="shared" si="4"/>
        <v>32.574175036298193</v>
      </c>
      <c r="O100" s="3">
        <f t="shared" si="5"/>
        <v>39.594113345214438</v>
      </c>
      <c r="P100" s="3">
        <f t="shared" si="6"/>
        <v>50.533236846032381</v>
      </c>
    </row>
    <row r="101" spans="2:16" x14ac:dyDescent="0.35">
      <c r="B101" s="30"/>
      <c r="F101" s="27"/>
      <c r="H101" s="26"/>
      <c r="I101" s="26"/>
      <c r="J101" s="26"/>
      <c r="K101" s="26"/>
    </row>
    <row r="102" spans="2:16" x14ac:dyDescent="0.35">
      <c r="B102" s="30"/>
      <c r="F102" s="27"/>
      <c r="H102" s="26"/>
      <c r="I102" s="26"/>
      <c r="J102" s="26"/>
      <c r="K102" s="26"/>
    </row>
    <row r="103" spans="2:16" x14ac:dyDescent="0.35">
      <c r="B103" s="30"/>
      <c r="F103" s="27"/>
      <c r="H103" s="26"/>
      <c r="I103" s="26"/>
      <c r="J103" s="26"/>
      <c r="K103" s="26"/>
    </row>
    <row r="104" spans="2:16" x14ac:dyDescent="0.35">
      <c r="B104" s="30"/>
      <c r="C104" s="32" t="s">
        <v>97</v>
      </c>
      <c r="D104" s="10"/>
      <c r="E104" s="10"/>
      <c r="F104" s="27"/>
      <c r="H104" s="78" t="s">
        <v>68</v>
      </c>
      <c r="I104" s="78"/>
      <c r="J104" s="78"/>
      <c r="K104" s="78"/>
      <c r="M104" s="75" t="s">
        <v>69</v>
      </c>
      <c r="N104" s="75"/>
      <c r="O104" s="75"/>
      <c r="P104" s="75"/>
    </row>
    <row r="105" spans="2:16" x14ac:dyDescent="0.35">
      <c r="B105" s="30"/>
      <c r="C105" s="33" t="s">
        <v>70</v>
      </c>
      <c r="D105" s="34" t="s">
        <v>71</v>
      </c>
      <c r="E105" s="34" t="s">
        <v>72</v>
      </c>
      <c r="F105" s="36" t="s">
        <v>73</v>
      </c>
      <c r="G105" s="33"/>
      <c r="H105" s="39" t="s">
        <v>1</v>
      </c>
      <c r="I105" s="39">
        <v>1</v>
      </c>
      <c r="J105" s="39">
        <v>5</v>
      </c>
      <c r="K105" s="39">
        <v>10</v>
      </c>
      <c r="M105" s="33" t="s">
        <v>1</v>
      </c>
      <c r="N105" s="33">
        <v>1</v>
      </c>
      <c r="O105" s="33">
        <v>5</v>
      </c>
      <c r="P105" s="33">
        <v>10</v>
      </c>
    </row>
    <row r="106" spans="2:16" x14ac:dyDescent="0.35">
      <c r="C106" s="12" t="s">
        <v>98</v>
      </c>
      <c r="D106">
        <v>30.269031999999999</v>
      </c>
      <c r="E106">
        <v>-23.906012</v>
      </c>
      <c r="F106" s="27">
        <f t="shared" ref="F106:F140" si="7">ACOS(COS(RADIANS(90-$E$74)) *COS(RADIANS(90-E106)) +SIN(RADIANS(90-$E$74)) *SIN(RADIANS(90-E106)) *COS(RADIANS($D$74-D106))) *6371</f>
        <v>428.95788852911653</v>
      </c>
      <c r="H106" s="26">
        <v>17.194335254048202</v>
      </c>
      <c r="I106" s="26">
        <f t="shared" ref="I106:K125" si="8">$H106*(1+$B$60)^I$105</f>
        <v>18.054052016750614</v>
      </c>
      <c r="J106" s="26">
        <f t="shared" si="8"/>
        <v>21.944813064185475</v>
      </c>
      <c r="K106" s="26">
        <f t="shared" si="8"/>
        <v>28.00776030632905</v>
      </c>
      <c r="M106" s="3">
        <f>IF($F106&lt;=$B$4,(H106/$B$8*$F106*$B$5),(H106/$B$8*$F106*$E$5))</f>
        <v>28.651538518288387</v>
      </c>
      <c r="N106" s="3">
        <f t="shared" ref="N106:P106" si="9">IF($F106&lt;=$B$4,(I106/$B$8*$F106*$B$5),(I106/$B$8*$F106*$E$5))</f>
        <v>30.084115444202812</v>
      </c>
      <c r="O106" s="3">
        <f t="shared" si="9"/>
        <v>36.567430348150047</v>
      </c>
      <c r="P106" s="3">
        <f t="shared" si="9"/>
        <v>46.670337141346856</v>
      </c>
    </row>
    <row r="107" spans="2:16" x14ac:dyDescent="0.35">
      <c r="C107" s="12" t="s">
        <v>99</v>
      </c>
      <c r="D107">
        <v>30.150300000000001</v>
      </c>
      <c r="E107">
        <v>-24.5989</v>
      </c>
      <c r="F107" s="27">
        <f t="shared" si="7"/>
        <v>351.63355152024434</v>
      </c>
      <c r="H107" s="26">
        <v>35.153179098273846</v>
      </c>
      <c r="I107" s="26">
        <f t="shared" si="8"/>
        <v>36.91083805318754</v>
      </c>
      <c r="J107" s="26">
        <f t="shared" si="8"/>
        <v>44.865354346387292</v>
      </c>
      <c r="K107" s="26">
        <f t="shared" si="8"/>
        <v>57.260824547323338</v>
      </c>
      <c r="M107" s="3">
        <f t="shared" ref="M107:M140" si="10">IF($F107&lt;=$B$4,(H107/$B$8*$F107*$B$5),(H107/$B$8*$F107*$E$5))</f>
        <v>48.017861226424195</v>
      </c>
      <c r="N107" s="3">
        <f t="shared" ref="N107:N140" si="11">IF($F107&lt;=$B$4,(I107/$B$8*$F107*$B$5),(I107/$B$8*$F107*$E$5))</f>
        <v>50.418754287745415</v>
      </c>
      <c r="O107" s="3">
        <f t="shared" ref="O107:O140" si="12">IF($F107&lt;=$B$4,(J107/$B$8*$F107*$B$5),(J107/$B$8*$F107*$E$5))</f>
        <v>61.284310953968863</v>
      </c>
      <c r="P107" s="3">
        <f t="shared" ref="P107:P140" si="13">IF($F107&lt;=$B$4,(K107/$B$8*$F107*$B$5),(K107/$B$8*$F107*$E$5))</f>
        <v>78.216036141067235</v>
      </c>
    </row>
    <row r="108" spans="2:16" x14ac:dyDescent="0.35">
      <c r="C108" s="12" t="s">
        <v>100</v>
      </c>
      <c r="D108">
        <v>29.474488999999998</v>
      </c>
      <c r="E108">
        <v>-24.189086</v>
      </c>
      <c r="F108" s="27">
        <f t="shared" si="7"/>
        <v>402.1825952259739</v>
      </c>
      <c r="H108" s="26">
        <v>27.060999877183367</v>
      </c>
      <c r="I108" s="26">
        <f t="shared" si="8"/>
        <v>28.414049871042536</v>
      </c>
      <c r="J108" s="26">
        <f t="shared" si="8"/>
        <v>34.537455206063896</v>
      </c>
      <c r="K108" s="26">
        <f t="shared" si="8"/>
        <v>44.079517295168991</v>
      </c>
      <c r="M108" s="3">
        <f t="shared" si="10"/>
        <v>42.278056011959329</v>
      </c>
      <c r="N108" s="3">
        <f t="shared" si="11"/>
        <v>44.391958812557299</v>
      </c>
      <c r="O108" s="3">
        <f t="shared" si="12"/>
        <v>53.958703386405979</v>
      </c>
      <c r="P108" s="3">
        <f t="shared" si="13"/>
        <v>68.866498268476263</v>
      </c>
    </row>
    <row r="109" spans="2:16" x14ac:dyDescent="0.35">
      <c r="C109" s="12" t="s">
        <v>101</v>
      </c>
      <c r="D109">
        <v>29.111511</v>
      </c>
      <c r="E109">
        <v>-23.975783</v>
      </c>
      <c r="F109" s="27">
        <f t="shared" si="7"/>
        <v>432.52314847369405</v>
      </c>
      <c r="H109" s="26">
        <v>22.843773450071073</v>
      </c>
      <c r="I109" s="26">
        <f t="shared" si="8"/>
        <v>23.985962122574627</v>
      </c>
      <c r="J109" s="26">
        <f t="shared" si="8"/>
        <v>29.155086872252728</v>
      </c>
      <c r="K109" s="26">
        <f t="shared" si="8"/>
        <v>37.210099828141949</v>
      </c>
      <c r="M109" s="3">
        <f t="shared" si="10"/>
        <v>38.38177881857218</v>
      </c>
      <c r="N109" s="3">
        <f t="shared" si="11"/>
        <v>40.300867759500782</v>
      </c>
      <c r="O109" s="3">
        <f t="shared" si="12"/>
        <v>48.985956642096703</v>
      </c>
      <c r="P109" s="3">
        <f t="shared" si="13"/>
        <v>62.519873283732444</v>
      </c>
    </row>
    <row r="110" spans="2:16" x14ac:dyDescent="0.35">
      <c r="C110" s="12" t="s">
        <v>102</v>
      </c>
      <c r="D110">
        <v>28.942074000000002</v>
      </c>
      <c r="E110">
        <v>-23.986512000000001</v>
      </c>
      <c r="F110" s="27">
        <f t="shared" si="7"/>
        <v>435.58689987160636</v>
      </c>
      <c r="H110" s="26">
        <v>17.637295560890173</v>
      </c>
      <c r="I110" s="26">
        <f t="shared" si="8"/>
        <v>18.519160338934682</v>
      </c>
      <c r="J110" s="26">
        <f t="shared" si="8"/>
        <v>22.510155136727228</v>
      </c>
      <c r="K110" s="26">
        <f t="shared" si="8"/>
        <v>28.729295970019624</v>
      </c>
      <c r="M110" s="3">
        <f t="shared" si="10"/>
        <v>29.84383986714667</v>
      </c>
      <c r="N110" s="3">
        <f t="shared" si="11"/>
        <v>31.336031860504004</v>
      </c>
      <c r="O110" s="3">
        <f t="shared" si="12"/>
        <v>38.089142576641756</v>
      </c>
      <c r="P110" s="3">
        <f t="shared" si="13"/>
        <v>48.612470402001613</v>
      </c>
    </row>
    <row r="111" spans="2:16" x14ac:dyDescent="0.35">
      <c r="C111" s="12" t="s">
        <v>103</v>
      </c>
      <c r="D111">
        <v>29.392499999999998</v>
      </c>
      <c r="E111">
        <v>-25.168199999999999</v>
      </c>
      <c r="F111" s="27">
        <f t="shared" si="7"/>
        <v>296.95627574574053</v>
      </c>
      <c r="H111" s="26">
        <v>7.7322970405685805</v>
      </c>
      <c r="I111" s="26">
        <f t="shared" si="8"/>
        <v>8.1189118925970103</v>
      </c>
      <c r="J111" s="26">
        <f t="shared" si="8"/>
        <v>9.8685881486509945</v>
      </c>
      <c r="K111" s="26">
        <f t="shared" si="8"/>
        <v>12.595097102029273</v>
      </c>
      <c r="M111" s="3">
        <f t="shared" si="10"/>
        <v>8.9196730473448405</v>
      </c>
      <c r="N111" s="3">
        <f t="shared" si="11"/>
        <v>9.3656566997120834</v>
      </c>
      <c r="O111" s="3">
        <f t="shared" si="12"/>
        <v>11.38401425385441</v>
      </c>
      <c r="P111" s="3">
        <f t="shared" si="13"/>
        <v>14.529207499431575</v>
      </c>
    </row>
    <row r="112" spans="2:16" x14ac:dyDescent="0.35">
      <c r="C112" s="12" t="s">
        <v>104</v>
      </c>
      <c r="D112">
        <v>29.741910000000001</v>
      </c>
      <c r="E112">
        <v>-25.046199000000001</v>
      </c>
      <c r="F112" s="27">
        <f t="shared" si="7"/>
        <v>304.05712436494213</v>
      </c>
      <c r="H112" s="26">
        <v>17.754675642966703</v>
      </c>
      <c r="I112" s="26">
        <f t="shared" si="8"/>
        <v>18.642409425115037</v>
      </c>
      <c r="J112" s="26">
        <f t="shared" si="8"/>
        <v>22.659965171286238</v>
      </c>
      <c r="K112" s="26">
        <f t="shared" si="8"/>
        <v>28.920495755004779</v>
      </c>
      <c r="M112" s="3">
        <f t="shared" si="10"/>
        <v>20.970839903167192</v>
      </c>
      <c r="N112" s="3">
        <f t="shared" si="11"/>
        <v>22.019381898325555</v>
      </c>
      <c r="O112" s="3">
        <f t="shared" si="12"/>
        <v>26.764696318551575</v>
      </c>
      <c r="P112" s="3">
        <f t="shared" si="13"/>
        <v>34.159288437279002</v>
      </c>
    </row>
    <row r="113" spans="3:16" x14ac:dyDescent="0.35">
      <c r="C113" s="12" t="s">
        <v>105</v>
      </c>
      <c r="D113">
        <v>29.873999999999999</v>
      </c>
      <c r="E113">
        <v>-24.7576</v>
      </c>
      <c r="F113" s="27">
        <f t="shared" si="7"/>
        <v>334.77115968055085</v>
      </c>
      <c r="H113" s="26">
        <v>29.794090009426853</v>
      </c>
      <c r="I113" s="26">
        <f t="shared" si="8"/>
        <v>31.283794509898197</v>
      </c>
      <c r="J113" s="26">
        <f t="shared" si="8"/>
        <v>38.025647750496944</v>
      </c>
      <c r="K113" s="26">
        <f t="shared" si="8"/>
        <v>48.531433126078852</v>
      </c>
      <c r="M113" s="3">
        <f t="shared" si="10"/>
        <v>38.745927407474831</v>
      </c>
      <c r="N113" s="3">
        <f t="shared" si="11"/>
        <v>40.683223777848582</v>
      </c>
      <c r="O113" s="3">
        <f t="shared" si="12"/>
        <v>49.450712772123552</v>
      </c>
      <c r="P113" s="3">
        <f t="shared" si="13"/>
        <v>63.113032963544555</v>
      </c>
    </row>
    <row r="114" spans="3:16" x14ac:dyDescent="0.35">
      <c r="C114" s="12" t="s">
        <v>106</v>
      </c>
      <c r="D114">
        <v>30.409800000000001</v>
      </c>
      <c r="E114">
        <v>-23.3093</v>
      </c>
      <c r="F114" s="27">
        <f t="shared" si="7"/>
        <v>495.93234033118563</v>
      </c>
      <c r="H114" s="26">
        <v>15.03310216576488</v>
      </c>
      <c r="I114" s="26">
        <f t="shared" si="8"/>
        <v>15.784757274053126</v>
      </c>
      <c r="J114" s="26">
        <f t="shared" si="8"/>
        <v>19.186471121344539</v>
      </c>
      <c r="K114" s="26">
        <f t="shared" si="8"/>
        <v>24.487339341610735</v>
      </c>
      <c r="M114" s="3">
        <f t="shared" si="10"/>
        <v>28.961359012715235</v>
      </c>
      <c r="N114" s="3">
        <f t="shared" si="11"/>
        <v>30.409426963350995</v>
      </c>
      <c r="O114" s="3">
        <f t="shared" si="12"/>
        <v>36.962848532871661</v>
      </c>
      <c r="P114" s="3">
        <f t="shared" si="13"/>
        <v>47.175002079984274</v>
      </c>
    </row>
    <row r="115" spans="3:16" x14ac:dyDescent="0.35">
      <c r="C115" s="12" t="s">
        <v>107</v>
      </c>
      <c r="D115">
        <v>29.652799999999999</v>
      </c>
      <c r="E115">
        <v>-23.991299999999999</v>
      </c>
      <c r="F115" s="27">
        <f t="shared" si="7"/>
        <v>421.62905463232687</v>
      </c>
      <c r="H115" s="26">
        <v>14.15162070236722</v>
      </c>
      <c r="I115" s="26">
        <f t="shared" si="8"/>
        <v>14.859201737485581</v>
      </c>
      <c r="J115" s="26">
        <f t="shared" si="8"/>
        <v>18.061452581924584</v>
      </c>
      <c r="K115" s="26">
        <f t="shared" si="8"/>
        <v>23.05149892227837</v>
      </c>
      <c r="M115" s="3">
        <f t="shared" si="10"/>
        <v>23.178461664789548</v>
      </c>
      <c r="N115" s="3">
        <f t="shared" si="11"/>
        <v>24.337384748029024</v>
      </c>
      <c r="O115" s="3">
        <f t="shared" si="12"/>
        <v>29.582243269883957</v>
      </c>
      <c r="P115" s="3">
        <f t="shared" si="13"/>
        <v>37.755271662742608</v>
      </c>
    </row>
    <row r="116" spans="3:16" x14ac:dyDescent="0.35">
      <c r="C116" s="12" t="s">
        <v>108</v>
      </c>
      <c r="D116">
        <v>29.482500000000002</v>
      </c>
      <c r="E116">
        <v>-24.301849000000001</v>
      </c>
      <c r="F116" s="27">
        <f t="shared" si="7"/>
        <v>389.67122244403157</v>
      </c>
      <c r="H116" s="26">
        <v>48.092353694151335</v>
      </c>
      <c r="I116" s="26">
        <f t="shared" si="8"/>
        <v>50.496971378858902</v>
      </c>
      <c r="J116" s="26">
        <f t="shared" si="8"/>
        <v>61.37938431707412</v>
      </c>
      <c r="K116" s="26">
        <f t="shared" si="8"/>
        <v>78.33737652148335</v>
      </c>
      <c r="M116" s="3">
        <f t="shared" si="10"/>
        <v>72.798472144602854</v>
      </c>
      <c r="N116" s="3">
        <f t="shared" si="11"/>
        <v>76.438395751832999</v>
      </c>
      <c r="O116" s="3">
        <f t="shared" si="12"/>
        <v>92.911347776326465</v>
      </c>
      <c r="P116" s="3">
        <f t="shared" si="13"/>
        <v>118.58104011395083</v>
      </c>
    </row>
    <row r="117" spans="3:16" x14ac:dyDescent="0.35">
      <c r="C117" s="12" t="s">
        <v>109</v>
      </c>
      <c r="D117">
        <v>29.709813</v>
      </c>
      <c r="E117">
        <v>-23.881985</v>
      </c>
      <c r="F117" s="27">
        <f t="shared" si="7"/>
        <v>433.15629163793426</v>
      </c>
      <c r="H117" s="26">
        <v>21.304746747394681</v>
      </c>
      <c r="I117" s="26">
        <f t="shared" si="8"/>
        <v>22.369984084764415</v>
      </c>
      <c r="J117" s="26">
        <f t="shared" si="8"/>
        <v>27.190855467431678</v>
      </c>
      <c r="K117" s="26">
        <f t="shared" si="8"/>
        <v>34.70318750168537</v>
      </c>
      <c r="M117" s="3">
        <f t="shared" si="10"/>
        <v>35.848327726277027</v>
      </c>
      <c r="N117" s="3">
        <f t="shared" si="11"/>
        <v>37.64074411259088</v>
      </c>
      <c r="O117" s="3">
        <f t="shared" si="12"/>
        <v>45.752559723504923</v>
      </c>
      <c r="P117" s="3">
        <f t="shared" si="13"/>
        <v>58.393148412289435</v>
      </c>
    </row>
    <row r="118" spans="3:16" x14ac:dyDescent="0.35">
      <c r="C118" s="12" t="s">
        <v>110</v>
      </c>
      <c r="D118">
        <v>27.726009000000001</v>
      </c>
      <c r="E118">
        <v>-23.669867</v>
      </c>
      <c r="F118" s="27">
        <f t="shared" si="7"/>
        <v>513.63619822611759</v>
      </c>
      <c r="H118" s="26">
        <v>47.088027730017728</v>
      </c>
      <c r="I118" s="26">
        <f t="shared" si="8"/>
        <v>49.442429116518618</v>
      </c>
      <c r="J118" s="26">
        <f t="shared" si="8"/>
        <v>60.097581606310364</v>
      </c>
      <c r="K118" s="26">
        <f t="shared" si="8"/>
        <v>76.701435354973043</v>
      </c>
      <c r="M118" s="3">
        <f t="shared" si="10"/>
        <v>93.953728946215534</v>
      </c>
      <c r="N118" s="3">
        <f t="shared" si="11"/>
        <v>98.651415393526335</v>
      </c>
      <c r="O118" s="3">
        <f t="shared" si="12"/>
        <v>119.91141198217746</v>
      </c>
      <c r="P118" s="3">
        <f t="shared" si="13"/>
        <v>153.04072424619466</v>
      </c>
    </row>
    <row r="119" spans="3:16" x14ac:dyDescent="0.35">
      <c r="C119" s="12" t="s">
        <v>111</v>
      </c>
      <c r="D119">
        <v>29.840713999999998</v>
      </c>
      <c r="E119">
        <v>-23.089703</v>
      </c>
      <c r="F119" s="27">
        <f t="shared" si="7"/>
        <v>520.1123481596851</v>
      </c>
      <c r="H119" s="26">
        <v>44.41504879885585</v>
      </c>
      <c r="I119" s="26">
        <f t="shared" si="8"/>
        <v>46.635801238798642</v>
      </c>
      <c r="J119" s="26">
        <f t="shared" si="8"/>
        <v>56.6861078795175</v>
      </c>
      <c r="K119" s="26">
        <f t="shared" si="8"/>
        <v>72.347434336514155</v>
      </c>
      <c r="M119" s="3">
        <f t="shared" si="10"/>
        <v>89.737756249778968</v>
      </c>
      <c r="N119" s="3">
        <f t="shared" si="11"/>
        <v>94.224644062267913</v>
      </c>
      <c r="O119" s="3">
        <f t="shared" si="12"/>
        <v>114.53064376171206</v>
      </c>
      <c r="P119" s="3">
        <f t="shared" si="13"/>
        <v>146.17334897432872</v>
      </c>
    </row>
    <row r="120" spans="3:16" x14ac:dyDescent="0.35">
      <c r="C120" s="12" t="s">
        <v>112</v>
      </c>
      <c r="D120">
        <v>30.589483000000001</v>
      </c>
      <c r="E120">
        <v>-22.697495</v>
      </c>
      <c r="F120" s="27">
        <f t="shared" si="7"/>
        <v>565.11566083168361</v>
      </c>
      <c r="H120" s="26">
        <v>34.7978041982363</v>
      </c>
      <c r="I120" s="26">
        <f t="shared" si="8"/>
        <v>36.537694408148113</v>
      </c>
      <c r="J120" s="26">
        <f t="shared" si="8"/>
        <v>44.411795913694085</v>
      </c>
      <c r="K120" s="26">
        <f t="shared" si="8"/>
        <v>56.681956282160606</v>
      </c>
      <c r="M120" s="3">
        <f t="shared" si="10"/>
        <v>76.39010047192987</v>
      </c>
      <c r="N120" s="3">
        <f t="shared" si="11"/>
        <v>80.209605495526361</v>
      </c>
      <c r="O120" s="3">
        <f t="shared" si="12"/>
        <v>97.495276789846628</v>
      </c>
      <c r="P120" s="3">
        <f t="shared" si="13"/>
        <v>124.43142419771546</v>
      </c>
    </row>
    <row r="121" spans="3:16" x14ac:dyDescent="0.35">
      <c r="C121" s="12" t="s">
        <v>113</v>
      </c>
      <c r="D121">
        <v>29.805457000000001</v>
      </c>
      <c r="E121">
        <v>-23.804531999999998</v>
      </c>
      <c r="F121" s="27">
        <f t="shared" si="7"/>
        <v>440.97459472513373</v>
      </c>
      <c r="H121" s="26">
        <v>14.965519318923372</v>
      </c>
      <c r="I121" s="26">
        <f t="shared" si="8"/>
        <v>15.713795284869541</v>
      </c>
      <c r="J121" s="26">
        <f t="shared" si="8"/>
        <v>19.100216379979457</v>
      </c>
      <c r="K121" s="26">
        <f t="shared" si="8"/>
        <v>24.377254005528275</v>
      </c>
      <c r="M121" s="3">
        <f t="shared" si="10"/>
        <v>25.636176911564757</v>
      </c>
      <c r="N121" s="3">
        <f t="shared" si="11"/>
        <v>26.91798575714299</v>
      </c>
      <c r="O121" s="3">
        <f t="shared" si="12"/>
        <v>32.718979925218292</v>
      </c>
      <c r="P121" s="3">
        <f t="shared" si="13"/>
        <v>41.758630822363735</v>
      </c>
    </row>
    <row r="122" spans="3:16" x14ac:dyDescent="0.35">
      <c r="C122" s="12" t="s">
        <v>114</v>
      </c>
      <c r="D122">
        <v>30.706330000000001</v>
      </c>
      <c r="E122">
        <v>-22.998683</v>
      </c>
      <c r="F122" s="27">
        <f t="shared" si="7"/>
        <v>532.94705444766601</v>
      </c>
      <c r="H122" s="26">
        <v>16.352021095625563</v>
      </c>
      <c r="I122" s="26">
        <f t="shared" si="8"/>
        <v>17.169622150406841</v>
      </c>
      <c r="J122" s="26">
        <f t="shared" si="8"/>
        <v>20.869783033957958</v>
      </c>
      <c r="K122" s="26">
        <f t="shared" si="8"/>
        <v>26.635719299615854</v>
      </c>
      <c r="M122" s="3">
        <f t="shared" si="10"/>
        <v>33.853486564523848</v>
      </c>
      <c r="N122" s="3">
        <f t="shared" si="11"/>
        <v>35.546160892750045</v>
      </c>
      <c r="O122" s="3">
        <f t="shared" si="12"/>
        <v>43.20658072864326</v>
      </c>
      <c r="P122" s="3">
        <f t="shared" si="13"/>
        <v>55.143762362635208</v>
      </c>
    </row>
    <row r="123" spans="3:16" x14ac:dyDescent="0.35">
      <c r="C123" s="12" t="s">
        <v>115</v>
      </c>
      <c r="D123">
        <v>29.728883</v>
      </c>
      <c r="E123">
        <v>-23.888883</v>
      </c>
      <c r="F123" s="27">
        <f t="shared" si="7"/>
        <v>432.22101023164055</v>
      </c>
      <c r="H123" s="26">
        <v>15.85335279162503</v>
      </c>
      <c r="I123" s="26">
        <f t="shared" si="8"/>
        <v>16.646020431206281</v>
      </c>
      <c r="J123" s="26">
        <f t="shared" si="8"/>
        <v>20.233341871758931</v>
      </c>
      <c r="K123" s="26">
        <f t="shared" si="8"/>
        <v>25.823441178685165</v>
      </c>
      <c r="M123" s="3">
        <f t="shared" si="10"/>
        <v>26.617967877313454</v>
      </c>
      <c r="N123" s="3">
        <f t="shared" si="11"/>
        <v>27.948866271179121</v>
      </c>
      <c r="O123" s="3">
        <f t="shared" si="12"/>
        <v>33.972021633032426</v>
      </c>
      <c r="P123" s="3">
        <f t="shared" si="13"/>
        <v>43.357864851090433</v>
      </c>
    </row>
    <row r="124" spans="3:16" x14ac:dyDescent="0.35">
      <c r="C124" s="12" t="s">
        <v>116</v>
      </c>
      <c r="D124">
        <v>30.276377</v>
      </c>
      <c r="E124">
        <v>-24.643443999999999</v>
      </c>
      <c r="F124" s="27">
        <f t="shared" si="7"/>
        <v>347.06370634124676</v>
      </c>
      <c r="H124" s="26">
        <v>20.369070980181366</v>
      </c>
      <c r="I124" s="26">
        <f t="shared" si="8"/>
        <v>21.387524529190436</v>
      </c>
      <c r="J124" s="26">
        <f t="shared" si="8"/>
        <v>25.996669737259282</v>
      </c>
      <c r="K124" s="26">
        <f t="shared" si="8"/>
        <v>33.179070272065744</v>
      </c>
      <c r="M124" s="3">
        <f t="shared" si="10"/>
        <v>27.461757018158259</v>
      </c>
      <c r="N124" s="3">
        <f t="shared" si="11"/>
        <v>28.834844869066174</v>
      </c>
      <c r="O124" s="3">
        <f t="shared" si="12"/>
        <v>35.048934156130365</v>
      </c>
      <c r="P124" s="3">
        <f t="shared" si="13"/>
        <v>44.732308448745691</v>
      </c>
    </row>
    <row r="125" spans="3:16" x14ac:dyDescent="0.35">
      <c r="C125" s="12" t="s">
        <v>117</v>
      </c>
      <c r="D125">
        <v>30.382566000000001</v>
      </c>
      <c r="E125">
        <v>-23.560040000000001</v>
      </c>
      <c r="F125" s="27">
        <f t="shared" si="7"/>
        <v>467.93597589891436</v>
      </c>
      <c r="H125" s="26">
        <v>17.415295719437577</v>
      </c>
      <c r="I125" s="26">
        <f t="shared" si="8"/>
        <v>18.286060505409456</v>
      </c>
      <c r="J125" s="26">
        <f t="shared" si="8"/>
        <v>22.226820832203355</v>
      </c>
      <c r="K125" s="26">
        <f t="shared" si="8"/>
        <v>28.367681621132046</v>
      </c>
      <c r="M125" s="3">
        <f t="shared" si="10"/>
        <v>31.656666979251668</v>
      </c>
      <c r="N125" s="3">
        <f t="shared" si="11"/>
        <v>33.239500328214255</v>
      </c>
      <c r="O125" s="3">
        <f t="shared" si="12"/>
        <v>40.402820395821479</v>
      </c>
      <c r="P125" s="3">
        <f t="shared" si="13"/>
        <v>51.56537474418591</v>
      </c>
    </row>
    <row r="126" spans="3:16" x14ac:dyDescent="0.35">
      <c r="C126" s="12" t="s">
        <v>118</v>
      </c>
      <c r="D126">
        <v>29.733868999999999</v>
      </c>
      <c r="E126">
        <v>-23.498349999999999</v>
      </c>
      <c r="F126" s="27">
        <f t="shared" si="7"/>
        <v>475.45959058127062</v>
      </c>
      <c r="H126" s="26">
        <v>42.372383515260658</v>
      </c>
      <c r="I126" s="26">
        <f t="shared" ref="I126:K140" si="14">$H126*(1+$B$60)^I$105</f>
        <v>44.491002691023695</v>
      </c>
      <c r="J126" s="26">
        <f t="shared" si="14"/>
        <v>54.079091839706123</v>
      </c>
      <c r="K126" s="26">
        <f t="shared" si="14"/>
        <v>69.020147831761122</v>
      </c>
      <c r="M126" s="3">
        <f t="shared" si="10"/>
        <v>78.260821934687129</v>
      </c>
      <c r="N126" s="3">
        <f t="shared" si="11"/>
        <v>82.173863031421476</v>
      </c>
      <c r="O126" s="3">
        <f t="shared" si="12"/>
        <v>99.882844101336758</v>
      </c>
      <c r="P126" s="3">
        <f t="shared" si="13"/>
        <v>127.47863233659797</v>
      </c>
    </row>
    <row r="127" spans="3:16" x14ac:dyDescent="0.35">
      <c r="C127" s="12" t="s">
        <v>119</v>
      </c>
      <c r="D127">
        <v>29.299284</v>
      </c>
      <c r="E127">
        <v>-24.344708000000001</v>
      </c>
      <c r="F127" s="27">
        <f t="shared" si="7"/>
        <v>388.35271973004484</v>
      </c>
      <c r="H127" s="26">
        <v>18.116132861988401</v>
      </c>
      <c r="I127" s="26">
        <f t="shared" si="14"/>
        <v>19.021939505087822</v>
      </c>
      <c r="J127" s="26">
        <f t="shared" si="14"/>
        <v>23.121286355556155</v>
      </c>
      <c r="K127" s="26">
        <f t="shared" si="14"/>
        <v>29.509271476879142</v>
      </c>
      <c r="M127" s="3">
        <f t="shared" si="10"/>
        <v>27.330007213864402</v>
      </c>
      <c r="N127" s="3">
        <f t="shared" si="11"/>
        <v>28.696507574557625</v>
      </c>
      <c r="O127" s="3">
        <f t="shared" si="12"/>
        <v>34.880784310047133</v>
      </c>
      <c r="P127" s="3">
        <f t="shared" si="13"/>
        <v>44.517701900452437</v>
      </c>
    </row>
    <row r="128" spans="3:16" x14ac:dyDescent="0.35">
      <c r="C128" s="12" t="s">
        <v>120</v>
      </c>
      <c r="D128">
        <v>28.705728000000001</v>
      </c>
      <c r="E128">
        <v>-23.356228999999999</v>
      </c>
      <c r="F128" s="27">
        <f t="shared" si="7"/>
        <v>509.55503304693974</v>
      </c>
      <c r="H128" s="26">
        <v>17.848481813748919</v>
      </c>
      <c r="I128" s="26">
        <f t="shared" si="14"/>
        <v>18.740905904436364</v>
      </c>
      <c r="J128" s="26">
        <f t="shared" si="14"/>
        <v>22.779688257504308</v>
      </c>
      <c r="K128" s="26">
        <f t="shared" si="14"/>
        <v>29.073296122550499</v>
      </c>
      <c r="M128" s="3">
        <f t="shared" si="10"/>
        <v>35.329726461309903</v>
      </c>
      <c r="N128" s="3">
        <f t="shared" si="11"/>
        <v>37.096212784375396</v>
      </c>
      <c r="O128" s="3">
        <f t="shared" si="12"/>
        <v>45.090678490738199</v>
      </c>
      <c r="P128" s="3">
        <f t="shared" si="13"/>
        <v>57.548401598344498</v>
      </c>
    </row>
    <row r="129" spans="3:16" x14ac:dyDescent="0.35">
      <c r="C129" s="12" t="s">
        <v>121</v>
      </c>
      <c r="D129">
        <v>28.997679000000002</v>
      </c>
      <c r="E129">
        <v>-24.186979999999998</v>
      </c>
      <c r="F129" s="27">
        <f t="shared" si="7"/>
        <v>412.59657899265426</v>
      </c>
      <c r="H129" s="26">
        <v>18.328304061720694</v>
      </c>
      <c r="I129" s="26">
        <f t="shared" si="14"/>
        <v>19.244719264806729</v>
      </c>
      <c r="J129" s="26">
        <f t="shared" si="14"/>
        <v>23.392076545867987</v>
      </c>
      <c r="K129" s="26">
        <f t="shared" si="14"/>
        <v>29.854876004079994</v>
      </c>
      <c r="M129" s="3">
        <f t="shared" si="10"/>
        <v>29.376212564902868</v>
      </c>
      <c r="N129" s="3">
        <f t="shared" si="11"/>
        <v>30.845023193148013</v>
      </c>
      <c r="O129" s="3">
        <f t="shared" si="12"/>
        <v>37.492318472666369</v>
      </c>
      <c r="P129" s="3">
        <f t="shared" si="13"/>
        <v>47.850754802042246</v>
      </c>
    </row>
    <row r="130" spans="3:16" x14ac:dyDescent="0.35">
      <c r="C130" s="12" t="s">
        <v>122</v>
      </c>
      <c r="D130">
        <v>29.881990999999999</v>
      </c>
      <c r="E130">
        <v>-24.204423999999999</v>
      </c>
      <c r="F130" s="27">
        <f t="shared" si="7"/>
        <v>396.11266029352851</v>
      </c>
      <c r="H130" s="26">
        <v>24.924958549079559</v>
      </c>
      <c r="I130" s="26">
        <f t="shared" si="14"/>
        <v>26.171206476533538</v>
      </c>
      <c r="J130" s="26">
        <f t="shared" si="14"/>
        <v>31.811265042266996</v>
      </c>
      <c r="K130" s="26">
        <f t="shared" si="14"/>
        <v>40.600131053246152</v>
      </c>
      <c r="M130" s="3">
        <f t="shared" si="10"/>
        <v>38.353152408390251</v>
      </c>
      <c r="N130" s="3">
        <f t="shared" si="11"/>
        <v>40.27081002880977</v>
      </c>
      <c r="O130" s="3">
        <f t="shared" si="12"/>
        <v>48.949421282580957</v>
      </c>
      <c r="P130" s="3">
        <f t="shared" si="13"/>
        <v>62.473243878003167</v>
      </c>
    </row>
    <row r="131" spans="3:16" x14ac:dyDescent="0.35">
      <c r="C131" s="12" t="s">
        <v>123</v>
      </c>
      <c r="D131">
        <v>29.710816000000001</v>
      </c>
      <c r="E131">
        <v>-23.497226000000001</v>
      </c>
      <c r="F131" s="27">
        <f t="shared" si="7"/>
        <v>475.77165024902263</v>
      </c>
      <c r="H131" s="26">
        <v>20.27718664898163</v>
      </c>
      <c r="I131" s="26">
        <f t="shared" si="14"/>
        <v>21.291045981430713</v>
      </c>
      <c r="J131" s="26">
        <f t="shared" si="14"/>
        <v>25.879399459466416</v>
      </c>
      <c r="K131" s="26">
        <f t="shared" si="14"/>
        <v>33.029400378689452</v>
      </c>
      <c r="M131" s="3">
        <f t="shared" si="10"/>
        <v>37.476079992798574</v>
      </c>
      <c r="N131" s="3">
        <f t="shared" si="11"/>
        <v>39.349883992438507</v>
      </c>
      <c r="O131" s="3">
        <f t="shared" si="12"/>
        <v>47.830029929583951</v>
      </c>
      <c r="P131" s="3">
        <f t="shared" si="13"/>
        <v>61.044585332951179</v>
      </c>
    </row>
    <row r="132" spans="3:16" x14ac:dyDescent="0.35">
      <c r="C132" s="12" t="s">
        <v>124</v>
      </c>
      <c r="D132">
        <v>30.300799999999999</v>
      </c>
      <c r="E132">
        <v>-23.8843</v>
      </c>
      <c r="F132" s="27">
        <f t="shared" si="7"/>
        <v>431.50131571652304</v>
      </c>
      <c r="H132" s="26">
        <v>22.417063086545092</v>
      </c>
      <c r="I132" s="26">
        <f t="shared" si="14"/>
        <v>23.537916240872349</v>
      </c>
      <c r="J132" s="26">
        <f t="shared" si="14"/>
        <v>28.610484302756845</v>
      </c>
      <c r="K132" s="26">
        <f t="shared" si="14"/>
        <v>36.515033609804227</v>
      </c>
      <c r="M132" s="3">
        <f t="shared" si="10"/>
        <v>37.575843342615059</v>
      </c>
      <c r="N132" s="3">
        <f t="shared" si="11"/>
        <v>39.45463550974582</v>
      </c>
      <c r="O132" s="3">
        <f t="shared" si="12"/>
        <v>47.957356053567977</v>
      </c>
      <c r="P132" s="3">
        <f t="shared" si="13"/>
        <v>61.207089317416575</v>
      </c>
    </row>
    <row r="133" spans="3:16" x14ac:dyDescent="0.35">
      <c r="C133" s="12" t="s">
        <v>125</v>
      </c>
      <c r="D133">
        <v>29.477878</v>
      </c>
      <c r="E133">
        <v>-23.898444999999999</v>
      </c>
      <c r="F133" s="27">
        <f t="shared" si="7"/>
        <v>434.08952823116692</v>
      </c>
      <c r="H133" s="26">
        <v>61.213040191234796</v>
      </c>
      <c r="I133" s="26">
        <f t="shared" si="14"/>
        <v>64.273692200796532</v>
      </c>
      <c r="J133" s="26">
        <f t="shared" si="14"/>
        <v>78.125074580644451</v>
      </c>
      <c r="K133" s="26">
        <f t="shared" si="14"/>
        <v>99.709592256213938</v>
      </c>
      <c r="M133" s="3">
        <f t="shared" si="10"/>
        <v>103.22173558924455</v>
      </c>
      <c r="N133" s="3">
        <f t="shared" si="11"/>
        <v>108.38282236870675</v>
      </c>
      <c r="O133" s="3">
        <f t="shared" si="12"/>
        <v>131.73999798180287</v>
      </c>
      <c r="P133" s="3">
        <f t="shared" si="13"/>
        <v>168.13733046796224</v>
      </c>
    </row>
    <row r="134" spans="3:16" x14ac:dyDescent="0.35">
      <c r="C134" s="12" t="s">
        <v>126</v>
      </c>
      <c r="D134">
        <v>30.291309999999999</v>
      </c>
      <c r="E134">
        <v>-23.991893000000001</v>
      </c>
      <c r="F134" s="27">
        <f t="shared" si="7"/>
        <v>419.50682849035138</v>
      </c>
      <c r="H134" s="26">
        <v>26.429025920607394</v>
      </c>
      <c r="I134" s="26">
        <f t="shared" si="14"/>
        <v>27.750477216637766</v>
      </c>
      <c r="J134" s="26">
        <f t="shared" si="14"/>
        <v>33.73087849730581</v>
      </c>
      <c r="K134" s="26">
        <f t="shared" si="14"/>
        <v>43.050098313039108</v>
      </c>
      <c r="M134" s="3">
        <f t="shared" si="10"/>
        <v>43.069327398281821</v>
      </c>
      <c r="N134" s="3">
        <f t="shared" si="11"/>
        <v>45.222793768195928</v>
      </c>
      <c r="O134" s="3">
        <f t="shared" si="12"/>
        <v>54.968588467703199</v>
      </c>
      <c r="P134" s="3">
        <f t="shared" si="13"/>
        <v>70.155395977979708</v>
      </c>
    </row>
    <row r="135" spans="3:16" x14ac:dyDescent="0.35">
      <c r="C135" s="12" t="s">
        <v>127</v>
      </c>
      <c r="D135">
        <v>27.982633</v>
      </c>
      <c r="E135">
        <v>-23.133323000000001</v>
      </c>
      <c r="F135" s="27">
        <f t="shared" si="7"/>
        <v>557.00960046717069</v>
      </c>
      <c r="H135" s="26">
        <v>26.85451765411106</v>
      </c>
      <c r="I135" s="26">
        <f t="shared" si="14"/>
        <v>28.197243536816615</v>
      </c>
      <c r="J135" s="26">
        <f t="shared" si="14"/>
        <v>34.273925751772701</v>
      </c>
      <c r="K135" s="26">
        <f t="shared" si="14"/>
        <v>43.743179511481451</v>
      </c>
      <c r="M135" s="3">
        <f t="shared" si="10"/>
        <v>58.106930590350053</v>
      </c>
      <c r="N135" s="3">
        <f t="shared" si="11"/>
        <v>61.012277119867569</v>
      </c>
      <c r="O135" s="3">
        <f t="shared" si="12"/>
        <v>74.160804165931026</v>
      </c>
      <c r="P135" s="3">
        <f t="shared" si="13"/>
        <v>94.65006701715096</v>
      </c>
    </row>
    <row r="136" spans="3:16" x14ac:dyDescent="0.35">
      <c r="C136" s="12" t="s">
        <v>128</v>
      </c>
      <c r="D136">
        <v>30.286061</v>
      </c>
      <c r="E136">
        <v>-23.400110000000002</v>
      </c>
      <c r="F136" s="27">
        <f t="shared" si="7"/>
        <v>485.2373963200946</v>
      </c>
      <c r="H136" s="26">
        <v>22.65276917276568</v>
      </c>
      <c r="I136" s="26">
        <f t="shared" si="14"/>
        <v>23.785407631403967</v>
      </c>
      <c r="J136" s="26">
        <f t="shared" si="14"/>
        <v>28.911311634769216</v>
      </c>
      <c r="K136" s="26">
        <f t="shared" si="14"/>
        <v>36.898973987147684</v>
      </c>
      <c r="M136" s="3">
        <f t="shared" si="10"/>
        <v>42.699566074873523</v>
      </c>
      <c r="N136" s="3">
        <f t="shared" si="11"/>
        <v>44.834544378617196</v>
      </c>
      <c r="O136" s="3">
        <f t="shared" si="12"/>
        <v>54.496668908111566</v>
      </c>
      <c r="P136" s="3">
        <f t="shared" si="13"/>
        <v>69.553093745089797</v>
      </c>
    </row>
    <row r="137" spans="3:16" x14ac:dyDescent="0.35">
      <c r="C137" s="12" t="s">
        <v>129</v>
      </c>
      <c r="D137">
        <v>29.761925999999999</v>
      </c>
      <c r="E137">
        <v>-24.955100999999999</v>
      </c>
      <c r="F137" s="27">
        <f t="shared" si="7"/>
        <v>313.8929502411159</v>
      </c>
      <c r="H137" s="26">
        <v>22.078418491482697</v>
      </c>
      <c r="I137" s="26">
        <f t="shared" si="14"/>
        <v>23.182339416056834</v>
      </c>
      <c r="J137" s="26">
        <f t="shared" si="14"/>
        <v>28.178278449838434</v>
      </c>
      <c r="K137" s="26">
        <f t="shared" si="14"/>
        <v>35.963417248519875</v>
      </c>
      <c r="M137" s="3">
        <f t="shared" si="10"/>
        <v>26.921386385784796</v>
      </c>
      <c r="N137" s="3">
        <f t="shared" si="11"/>
        <v>28.267455705074035</v>
      </c>
      <c r="O137" s="3">
        <f t="shared" si="12"/>
        <v>34.359269081115649</v>
      </c>
      <c r="P137" s="3">
        <f t="shared" si="13"/>
        <v>43.852101629204213</v>
      </c>
    </row>
    <row r="138" spans="3:16" x14ac:dyDescent="0.35">
      <c r="C138" s="12" t="s">
        <v>130</v>
      </c>
      <c r="D138">
        <v>30.677278000000001</v>
      </c>
      <c r="E138">
        <v>-24.359541</v>
      </c>
      <c r="F138" s="27">
        <f t="shared" si="7"/>
        <v>382.47974307365558</v>
      </c>
      <c r="H138" s="26">
        <v>19.180443537746648</v>
      </c>
      <c r="I138" s="26">
        <f t="shared" si="14"/>
        <v>20.139465714633982</v>
      </c>
      <c r="J138" s="26">
        <f t="shared" si="14"/>
        <v>24.47964644779832</v>
      </c>
      <c r="K138" s="26">
        <f t="shared" si="14"/>
        <v>31.242921417843615</v>
      </c>
      <c r="M138" s="3">
        <f t="shared" si="10"/>
        <v>28.498039428098984</v>
      </c>
      <c r="N138" s="3">
        <f t="shared" si="11"/>
        <v>29.922941399503937</v>
      </c>
      <c r="O138" s="3">
        <f t="shared" si="12"/>
        <v>36.371522289480787</v>
      </c>
      <c r="P138" s="3">
        <f t="shared" si="13"/>
        <v>46.420303298122107</v>
      </c>
    </row>
    <row r="139" spans="3:16" x14ac:dyDescent="0.35">
      <c r="C139" s="12" t="s">
        <v>131</v>
      </c>
      <c r="D139">
        <v>30.449963</v>
      </c>
      <c r="E139">
        <v>-22.959624000000002</v>
      </c>
      <c r="F139" s="27">
        <f t="shared" si="7"/>
        <v>534.99365111737518</v>
      </c>
      <c r="H139" s="26">
        <v>24.152209260139401</v>
      </c>
      <c r="I139" s="26">
        <f t="shared" si="14"/>
        <v>25.359819723146373</v>
      </c>
      <c r="J139" s="26">
        <f t="shared" si="14"/>
        <v>30.825019372357687</v>
      </c>
      <c r="K139" s="26">
        <f t="shared" si="14"/>
        <v>39.341403888645438</v>
      </c>
      <c r="M139" s="3">
        <f t="shared" si="10"/>
        <v>50.194182952957121</v>
      </c>
      <c r="N139" s="3">
        <f t="shared" si="11"/>
        <v>52.703892100604982</v>
      </c>
      <c r="O139" s="3">
        <f t="shared" si="12"/>
        <v>64.061910247610982</v>
      </c>
      <c r="P139" s="3">
        <f t="shared" si="13"/>
        <v>81.761034907555711</v>
      </c>
    </row>
    <row r="140" spans="3:16" x14ac:dyDescent="0.35">
      <c r="C140" s="12" t="s">
        <v>132</v>
      </c>
      <c r="D140">
        <v>30.318300000000001</v>
      </c>
      <c r="E140">
        <v>-24.581</v>
      </c>
      <c r="F140" s="27">
        <f t="shared" si="7"/>
        <v>354.22311204840616</v>
      </c>
      <c r="H140" s="26">
        <v>26.573911152925486</v>
      </c>
      <c r="I140" s="26">
        <f t="shared" si="14"/>
        <v>27.90260671057176</v>
      </c>
      <c r="J140" s="26">
        <f t="shared" si="14"/>
        <v>33.915792847991916</v>
      </c>
      <c r="K140" s="26">
        <f t="shared" si="14"/>
        <v>43.286101089461454</v>
      </c>
      <c r="M140" s="3">
        <f t="shared" si="10"/>
        <v>36.566237117827505</v>
      </c>
      <c r="N140" s="3">
        <f t="shared" si="11"/>
        <v>38.394548973718877</v>
      </c>
      <c r="O140" s="3">
        <f t="shared" si="12"/>
        <v>46.668814243486388</v>
      </c>
      <c r="P140" s="3">
        <f t="shared" si="13"/>
        <v>59.562547162699062</v>
      </c>
    </row>
    <row r="141" spans="3:16" x14ac:dyDescent="0.35">
      <c r="C141" s="13"/>
      <c r="D141" s="10"/>
      <c r="E141" s="10"/>
      <c r="F141" s="27"/>
      <c r="H141" s="40"/>
      <c r="I141" s="26"/>
      <c r="J141" s="26"/>
      <c r="K141" s="26"/>
      <c r="M141" s="11"/>
    </row>
    <row r="142" spans="3:16" x14ac:dyDescent="0.35">
      <c r="F142" s="27"/>
      <c r="H142" s="26"/>
      <c r="I142" s="26"/>
      <c r="J142" s="26"/>
      <c r="K142" s="26"/>
    </row>
    <row r="143" spans="3:16" x14ac:dyDescent="0.35">
      <c r="F143" s="27"/>
      <c r="H143" s="26"/>
      <c r="I143" s="26"/>
      <c r="J143" s="26"/>
      <c r="K143" s="26"/>
    </row>
    <row r="144" spans="3:16" x14ac:dyDescent="0.35">
      <c r="C144" s="32" t="s">
        <v>133</v>
      </c>
      <c r="F144" s="27"/>
      <c r="H144" s="78" t="s">
        <v>68</v>
      </c>
      <c r="I144" s="78"/>
      <c r="J144" s="78"/>
      <c r="K144" s="78"/>
      <c r="M144" s="75" t="s">
        <v>69</v>
      </c>
      <c r="N144" s="75"/>
      <c r="O144" s="75"/>
      <c r="P144" s="75"/>
    </row>
    <row r="145" spans="3:16" x14ac:dyDescent="0.35">
      <c r="C145" s="33" t="s">
        <v>70</v>
      </c>
      <c r="D145" s="34" t="s">
        <v>71</v>
      </c>
      <c r="E145" s="34" t="s">
        <v>72</v>
      </c>
      <c r="F145" s="36" t="s">
        <v>73</v>
      </c>
      <c r="G145" s="33"/>
      <c r="H145" s="39" t="s">
        <v>1</v>
      </c>
      <c r="I145" s="39">
        <v>1</v>
      </c>
      <c r="J145" s="39">
        <v>5</v>
      </c>
      <c r="K145" s="39">
        <v>10</v>
      </c>
      <c r="M145" s="33" t="s">
        <v>1</v>
      </c>
      <c r="N145" s="33">
        <v>1</v>
      </c>
      <c r="O145" s="33">
        <v>5</v>
      </c>
      <c r="P145" s="33">
        <v>10</v>
      </c>
    </row>
    <row r="146" spans="3:16" x14ac:dyDescent="0.35">
      <c r="C146" s="12" t="s">
        <v>134</v>
      </c>
      <c r="D146" s="1">
        <v>30.372968</v>
      </c>
      <c r="E146" s="1">
        <v>-24.568518000000001</v>
      </c>
      <c r="F146" s="27">
        <f t="shared" ref="F146:F177" si="15">ACOS(COS(RADIANS(90-$E$74)) *COS(RADIANS(90-E146)) +SIN(RADIANS(90-$E$74)) *SIN(RADIANS(90-E146)) *COS(RADIANS($D$74-D146))) *6371</f>
        <v>355.97299763885076</v>
      </c>
      <c r="H146" s="26">
        <v>22.006143252860621</v>
      </c>
      <c r="I146" s="26">
        <f t="shared" ref="I146:K177" si="16">$H146*(1+$B$60)^I$145</f>
        <v>23.106450415503652</v>
      </c>
      <c r="J146" s="26">
        <f t="shared" si="16"/>
        <v>28.086034895359788</v>
      </c>
      <c r="K146" s="26">
        <f t="shared" si="16"/>
        <v>35.845688500679316</v>
      </c>
      <c r="M146" s="41">
        <f>IF($F146&lt;=$B$4,(H146/$B$8*$F146*$B$5),(H146/$B$8*$F146*$E$5))</f>
        <v>30.430486093115761</v>
      </c>
      <c r="N146" s="41">
        <f t="shared" ref="N146:P161" si="17">IF($F146&lt;=$B$4,(I146/$B$8*$F146*$B$5),(I146/$B$8*$F146*$E$5))</f>
        <v>31.952010397771556</v>
      </c>
      <c r="O146" s="41">
        <f t="shared" si="17"/>
        <v>38.837868338556312</v>
      </c>
      <c r="P146" s="41">
        <f t="shared" si="17"/>
        <v>49.568055287301931</v>
      </c>
    </row>
    <row r="147" spans="3:16" x14ac:dyDescent="0.35">
      <c r="C147" s="12" t="s">
        <v>135</v>
      </c>
      <c r="D147" s="35">
        <v>31.039044000000001</v>
      </c>
      <c r="E147" s="1">
        <v>-25.777819999999998</v>
      </c>
      <c r="F147" s="27">
        <f t="shared" si="15"/>
        <v>239.12322039736395</v>
      </c>
      <c r="H147" s="26">
        <v>26.254118402550034</v>
      </c>
      <c r="I147" s="26">
        <f t="shared" si="16"/>
        <v>27.566824322677537</v>
      </c>
      <c r="J147" s="26">
        <f t="shared" si="16"/>
        <v>33.507647256866562</v>
      </c>
      <c r="K147" s="26">
        <f t="shared" si="16"/>
        <v>42.765192396692498</v>
      </c>
      <c r="M147" s="41">
        <f t="shared" ref="M147:M177" si="18">IF($F147&lt;=$B$4,(H147/$B$8*$F147*$B$5),(H147/$B$8*$F147*$E$5))</f>
        <v>88.681778632240906</v>
      </c>
      <c r="N147" s="41">
        <f t="shared" si="17"/>
        <v>93.115867563852944</v>
      </c>
      <c r="O147" s="41">
        <f t="shared" si="17"/>
        <v>113.18291899803553</v>
      </c>
      <c r="P147" s="41">
        <f t="shared" si="17"/>
        <v>144.45327270712374</v>
      </c>
    </row>
    <row r="148" spans="3:16" x14ac:dyDescent="0.35">
      <c r="C148" s="12" t="s">
        <v>136</v>
      </c>
      <c r="D148" s="1">
        <v>30.0273</v>
      </c>
      <c r="E148" s="1">
        <v>-25.682300000000001</v>
      </c>
      <c r="F148" s="27">
        <f t="shared" si="15"/>
        <v>231.27608114653802</v>
      </c>
      <c r="H148" s="26">
        <v>32.571042931846947</v>
      </c>
      <c r="I148" s="26">
        <f t="shared" si="16"/>
        <v>34.199595078439295</v>
      </c>
      <c r="J148" s="26">
        <f t="shared" si="16"/>
        <v>41.569821565312203</v>
      </c>
      <c r="K148" s="26">
        <f t="shared" si="16"/>
        <v>53.054796820222862</v>
      </c>
      <c r="M148" s="41">
        <f t="shared" si="18"/>
        <v>106.40881070251072</v>
      </c>
      <c r="N148" s="41">
        <f t="shared" si="17"/>
        <v>111.72925123763626</v>
      </c>
      <c r="O148" s="41">
        <f t="shared" si="17"/>
        <v>135.8076031871671</v>
      </c>
      <c r="P148" s="41">
        <f t="shared" si="17"/>
        <v>173.32873999509764</v>
      </c>
    </row>
    <row r="149" spans="3:16" x14ac:dyDescent="0.35">
      <c r="C149" s="12" t="s">
        <v>137</v>
      </c>
      <c r="D149" s="1">
        <v>29.476251000000001</v>
      </c>
      <c r="E149" s="1">
        <v>-26.454215000000001</v>
      </c>
      <c r="F149" s="27">
        <f t="shared" si="15"/>
        <v>158.16777176167548</v>
      </c>
      <c r="H149" s="26">
        <v>47.447489038582518</v>
      </c>
      <c r="I149" s="26">
        <f t="shared" si="16"/>
        <v>49.819863490511644</v>
      </c>
      <c r="J149" s="26">
        <f t="shared" si="16"/>
        <v>60.556355446863726</v>
      </c>
      <c r="K149" s="26">
        <f t="shared" si="16"/>
        <v>77.286959949028613</v>
      </c>
      <c r="M149" s="41">
        <f t="shared" si="18"/>
        <v>106.00990247385117</v>
      </c>
      <c r="N149" s="41">
        <f t="shared" si="17"/>
        <v>111.31039759754373</v>
      </c>
      <c r="O149" s="41">
        <f t="shared" si="17"/>
        <v>135.29848396979941</v>
      </c>
      <c r="P149" s="41">
        <f t="shared" si="17"/>
        <v>172.67896052485676</v>
      </c>
    </row>
    <row r="150" spans="3:16" x14ac:dyDescent="0.35">
      <c r="C150" s="12" t="s">
        <v>138</v>
      </c>
      <c r="D150" s="1">
        <v>31.166733000000001</v>
      </c>
      <c r="E150" s="1">
        <v>-25.352080000000001</v>
      </c>
      <c r="F150" s="27">
        <f t="shared" si="15"/>
        <v>287.8282945726603</v>
      </c>
      <c r="H150" s="26">
        <v>41.581411365610464</v>
      </c>
      <c r="I150" s="26">
        <f t="shared" si="16"/>
        <v>43.660481933890992</v>
      </c>
      <c r="J150" s="26">
        <f t="shared" si="16"/>
        <v>53.069588668656586</v>
      </c>
      <c r="K150" s="26">
        <f t="shared" si="16"/>
        <v>67.731737547265325</v>
      </c>
      <c r="M150" s="41">
        <f t="shared" si="18"/>
        <v>46.492254754473606</v>
      </c>
      <c r="N150" s="41">
        <f t="shared" si="17"/>
        <v>48.816867492197282</v>
      </c>
      <c r="O150" s="41">
        <f t="shared" si="17"/>
        <v>59.337207542187635</v>
      </c>
      <c r="P150" s="41">
        <f t="shared" si="17"/>
        <v>75.730983956330007</v>
      </c>
    </row>
    <row r="151" spans="3:16" x14ac:dyDescent="0.35">
      <c r="C151" s="12" t="s">
        <v>139</v>
      </c>
      <c r="D151" s="1">
        <v>31.164062000000001</v>
      </c>
      <c r="E151" s="1">
        <v>-25.347403</v>
      </c>
      <c r="F151" s="27">
        <f t="shared" si="15"/>
        <v>288.21614541751075</v>
      </c>
      <c r="H151" s="26">
        <v>21.646386368278506</v>
      </c>
      <c r="I151" s="26">
        <f t="shared" si="16"/>
        <v>22.728705686692432</v>
      </c>
      <c r="J151" s="26">
        <f t="shared" si="16"/>
        <v>27.626883816585195</v>
      </c>
      <c r="K151" s="26">
        <f t="shared" si="16"/>
        <v>35.259682444437317</v>
      </c>
      <c r="M151" s="41">
        <f t="shared" si="18"/>
        <v>24.235479119180383</v>
      </c>
      <c r="N151" s="41">
        <f t="shared" si="17"/>
        <v>25.447253075139404</v>
      </c>
      <c r="O151" s="41">
        <f t="shared" si="17"/>
        <v>30.931295158163671</v>
      </c>
      <c r="P151" s="41">
        <f t="shared" si="17"/>
        <v>39.477041714609811</v>
      </c>
    </row>
    <row r="152" spans="3:16" x14ac:dyDescent="0.35">
      <c r="C152" s="12" t="s">
        <v>140</v>
      </c>
      <c r="D152" s="1">
        <v>30.808244999999999</v>
      </c>
      <c r="E152" s="1">
        <v>-26.033345000000001</v>
      </c>
      <c r="F152" s="27">
        <f t="shared" si="15"/>
        <v>204.28605673483779</v>
      </c>
      <c r="H152" s="26">
        <v>17.391454440833993</v>
      </c>
      <c r="I152" s="26">
        <f t="shared" si="16"/>
        <v>18.261027162875692</v>
      </c>
      <c r="J152" s="26">
        <f t="shared" si="16"/>
        <v>22.196392647895173</v>
      </c>
      <c r="K152" s="26">
        <f t="shared" si="16"/>
        <v>28.328846690519164</v>
      </c>
      <c r="M152" s="41">
        <f t="shared" si="18"/>
        <v>50.186837918377336</v>
      </c>
      <c r="N152" s="41">
        <f t="shared" si="17"/>
        <v>52.696179814296194</v>
      </c>
      <c r="O152" s="41">
        <f t="shared" si="17"/>
        <v>64.052535915400867</v>
      </c>
      <c r="P152" s="41">
        <f t="shared" si="17"/>
        <v>81.749070620195198</v>
      </c>
    </row>
    <row r="153" spans="3:16" x14ac:dyDescent="0.35">
      <c r="C153" s="12" t="s">
        <v>141</v>
      </c>
      <c r="D153" s="1">
        <v>29.267294</v>
      </c>
      <c r="E153" s="1">
        <v>-25.849267000000001</v>
      </c>
      <c r="F153" s="27">
        <f t="shared" si="15"/>
        <v>228.33995289478563</v>
      </c>
      <c r="H153" s="26">
        <v>97.82050613905848</v>
      </c>
      <c r="I153" s="26">
        <f t="shared" si="16"/>
        <v>102.71153144601141</v>
      </c>
      <c r="J153" s="26">
        <f t="shared" si="16"/>
        <v>124.84650841969841</v>
      </c>
      <c r="K153" s="26">
        <f t="shared" si="16"/>
        <v>159.33929683856209</v>
      </c>
      <c r="M153" s="41">
        <f t="shared" si="18"/>
        <v>315.52009000914938</v>
      </c>
      <c r="N153" s="41">
        <f t="shared" si="17"/>
        <v>331.29609450960686</v>
      </c>
      <c r="O153" s="41">
        <f t="shared" si="17"/>
        <v>402.69247347701781</v>
      </c>
      <c r="P153" s="41">
        <f t="shared" si="17"/>
        <v>513.94897925623809</v>
      </c>
    </row>
    <row r="154" spans="3:16" x14ac:dyDescent="0.35">
      <c r="C154" s="12" t="s">
        <v>142</v>
      </c>
      <c r="D154" s="1">
        <v>31.816400000000002</v>
      </c>
      <c r="E154" s="1">
        <v>-25.744399999999999</v>
      </c>
      <c r="F154" s="27">
        <f t="shared" si="15"/>
        <v>281.18983716670863</v>
      </c>
      <c r="H154" s="26">
        <v>55.110403592899956</v>
      </c>
      <c r="I154" s="26">
        <f t="shared" si="16"/>
        <v>57.86592377254496</v>
      </c>
      <c r="J154" s="26">
        <f t="shared" si="16"/>
        <v>70.336392007551979</v>
      </c>
      <c r="K154" s="26">
        <f t="shared" si="16"/>
        <v>89.769040292010956</v>
      </c>
      <c r="M154" s="41">
        <f t="shared" si="18"/>
        <v>60.197867960291639</v>
      </c>
      <c r="N154" s="41">
        <f t="shared" si="17"/>
        <v>63.207761358306229</v>
      </c>
      <c r="O154" s="41">
        <f t="shared" si="17"/>
        <v>76.829428979529709</v>
      </c>
      <c r="P154" s="41">
        <f t="shared" si="17"/>
        <v>98.05598366397696</v>
      </c>
    </row>
    <row r="155" spans="3:16" x14ac:dyDescent="0.35">
      <c r="C155" s="12" t="s">
        <v>143</v>
      </c>
      <c r="D155" s="1">
        <v>29.083297000000002</v>
      </c>
      <c r="E155" s="1">
        <v>-26.533480000000001</v>
      </c>
      <c r="F155" s="27">
        <f t="shared" si="15"/>
        <v>169.99569430968546</v>
      </c>
      <c r="H155" s="26">
        <v>201.76432694031197</v>
      </c>
      <c r="I155" s="26">
        <f t="shared" si="16"/>
        <v>211.85254328732759</v>
      </c>
      <c r="J155" s="26">
        <f t="shared" si="16"/>
        <v>257.50809044414223</v>
      </c>
      <c r="K155" s="26">
        <f t="shared" si="16"/>
        <v>328.65282802844115</v>
      </c>
      <c r="M155" s="41">
        <f t="shared" si="18"/>
        <v>484.50415858753604</v>
      </c>
      <c r="N155" s="41">
        <f t="shared" si="17"/>
        <v>508.72936651691293</v>
      </c>
      <c r="O155" s="41">
        <f t="shared" si="17"/>
        <v>618.36372455984838</v>
      </c>
      <c r="P155" s="41">
        <f t="shared" si="17"/>
        <v>789.20622057456285</v>
      </c>
    </row>
    <row r="156" spans="3:16" x14ac:dyDescent="0.35">
      <c r="C156" s="12" t="s">
        <v>144</v>
      </c>
      <c r="D156" s="1">
        <v>30.250399999999999</v>
      </c>
      <c r="E156" s="1">
        <v>-25.671600000000002</v>
      </c>
      <c r="F156" s="27">
        <f t="shared" si="15"/>
        <v>232.76204093354636</v>
      </c>
      <c r="H156" s="26">
        <v>12.571677105785358</v>
      </c>
      <c r="I156" s="26">
        <f t="shared" si="16"/>
        <v>13.200260961074626</v>
      </c>
      <c r="J156" s="26">
        <f t="shared" si="16"/>
        <v>16.044999699817218</v>
      </c>
      <c r="K156" s="26">
        <f t="shared" si="16"/>
        <v>20.477937287194749</v>
      </c>
      <c r="M156" s="41">
        <f t="shared" si="18"/>
        <v>41.335250982809377</v>
      </c>
      <c r="N156" s="41">
        <f t="shared" si="17"/>
        <v>43.402013531949841</v>
      </c>
      <c r="O156" s="41">
        <f t="shared" si="17"/>
        <v>52.755418710669609</v>
      </c>
      <c r="P156" s="41">
        <f t="shared" si="17"/>
        <v>67.33076822239515</v>
      </c>
    </row>
    <row r="157" spans="3:16" x14ac:dyDescent="0.35">
      <c r="C157" s="12" t="s">
        <v>145</v>
      </c>
      <c r="D157" s="1">
        <v>31.143848999999999</v>
      </c>
      <c r="E157" s="1">
        <v>-25.039104999999999</v>
      </c>
      <c r="F157" s="27">
        <f t="shared" si="15"/>
        <v>319.7713487834219</v>
      </c>
      <c r="H157" s="26">
        <v>17.262293580879113</v>
      </c>
      <c r="I157" s="26">
        <f t="shared" si="16"/>
        <v>18.12540825992307</v>
      </c>
      <c r="J157" s="26">
        <f t="shared" si="16"/>
        <v>22.031547023738117</v>
      </c>
      <c r="K157" s="26">
        <f t="shared" si="16"/>
        <v>28.118457259748709</v>
      </c>
      <c r="M157" s="41">
        <f t="shared" si="18"/>
        <v>21.443019742310344</v>
      </c>
      <c r="N157" s="41">
        <f t="shared" si="17"/>
        <v>22.515170729425865</v>
      </c>
      <c r="O157" s="41">
        <f t="shared" si="17"/>
        <v>27.367330741434195</v>
      </c>
      <c r="P157" s="41">
        <f t="shared" si="17"/>
        <v>34.928419640131921</v>
      </c>
    </row>
    <row r="158" spans="3:16" x14ac:dyDescent="0.35">
      <c r="C158" s="12" t="s">
        <v>146</v>
      </c>
      <c r="D158" s="1">
        <v>31.1266</v>
      </c>
      <c r="E158" s="1">
        <v>-25.345400000000001</v>
      </c>
      <c r="F158" s="27">
        <f t="shared" si="15"/>
        <v>287.08746797659313</v>
      </c>
      <c r="H158" s="26">
        <v>18.90896386153323</v>
      </c>
      <c r="I158" s="26">
        <f t="shared" si="16"/>
        <v>19.854412054609892</v>
      </c>
      <c r="J158" s="26">
        <f t="shared" si="16"/>
        <v>24.133161942453668</v>
      </c>
      <c r="K158" s="26">
        <f t="shared" si="16"/>
        <v>30.8007096319803</v>
      </c>
      <c r="M158" s="41">
        <f t="shared" si="18"/>
        <v>21.08773158578191</v>
      </c>
      <c r="N158" s="41">
        <f t="shared" si="17"/>
        <v>22.142118165071004</v>
      </c>
      <c r="O158" s="41">
        <f t="shared" si="17"/>
        <v>26.913883017882341</v>
      </c>
      <c r="P158" s="41">
        <f t="shared" si="17"/>
        <v>34.349692671005094</v>
      </c>
    </row>
    <row r="159" spans="3:16" x14ac:dyDescent="0.35">
      <c r="C159" s="12" t="s">
        <v>147</v>
      </c>
      <c r="D159" s="1">
        <v>31.677612</v>
      </c>
      <c r="E159" s="1">
        <v>-25.664003000000001</v>
      </c>
      <c r="F159" s="27">
        <f t="shared" si="15"/>
        <v>280.51348266343399</v>
      </c>
      <c r="H159" s="26">
        <v>33.196478944117878</v>
      </c>
      <c r="I159" s="26">
        <f t="shared" si="16"/>
        <v>34.856302891323772</v>
      </c>
      <c r="J159" s="26">
        <f t="shared" si="16"/>
        <v>42.368054016297123</v>
      </c>
      <c r="K159" s="26">
        <f t="shared" si="16"/>
        <v>54.073566180004086</v>
      </c>
      <c r="M159" s="41">
        <f t="shared" si="18"/>
        <v>36.173760606252849</v>
      </c>
      <c r="N159" s="41">
        <f t="shared" si="17"/>
        <v>37.982448636565493</v>
      </c>
      <c r="O159" s="41">
        <f t="shared" si="17"/>
        <v>46.167903708049344</v>
      </c>
      <c r="P159" s="41">
        <f t="shared" si="17"/>
        <v>58.92324428185875</v>
      </c>
    </row>
    <row r="160" spans="3:16" x14ac:dyDescent="0.35">
      <c r="C160" s="12" t="s">
        <v>148</v>
      </c>
      <c r="D160" s="1">
        <v>31.179600000000001</v>
      </c>
      <c r="E160" s="1">
        <v>-25.464600000000001</v>
      </c>
      <c r="F160" s="27">
        <f t="shared" si="15"/>
        <v>276.69353465089097</v>
      </c>
      <c r="H160" s="26">
        <v>44.479735807438104</v>
      </c>
      <c r="I160" s="26">
        <f t="shared" si="16"/>
        <v>46.703722597810014</v>
      </c>
      <c r="J160" s="26">
        <f t="shared" si="16"/>
        <v>56.76866671590431</v>
      </c>
      <c r="K160" s="26">
        <f t="shared" si="16"/>
        <v>72.452802657216097</v>
      </c>
      <c r="M160" s="41">
        <f t="shared" si="18"/>
        <v>47.80893932016297</v>
      </c>
      <c r="N160" s="41">
        <f t="shared" si="17"/>
        <v>50.199386286171126</v>
      </c>
      <c r="O160" s="41">
        <f t="shared" si="17"/>
        <v>61.017667777005293</v>
      </c>
      <c r="P160" s="41">
        <f t="shared" si="17"/>
        <v>77.875724370542216</v>
      </c>
    </row>
    <row r="161" spans="3:16" x14ac:dyDescent="0.35">
      <c r="C161" s="12" t="s">
        <v>149</v>
      </c>
      <c r="D161" s="1">
        <v>28.713892999999999</v>
      </c>
      <c r="E161" s="1">
        <v>-25.431799999999999</v>
      </c>
      <c r="F161" s="27">
        <f t="shared" si="15"/>
        <v>293.72085639034924</v>
      </c>
      <c r="H161" s="26">
        <v>92.221350867317156</v>
      </c>
      <c r="I161" s="26">
        <f t="shared" si="16"/>
        <v>96.832418410683019</v>
      </c>
      <c r="J161" s="26">
        <f t="shared" si="16"/>
        <v>117.70040978080029</v>
      </c>
      <c r="K161" s="26">
        <f t="shared" si="16"/>
        <v>150.21886290193007</v>
      </c>
      <c r="M161" s="41">
        <f t="shared" si="18"/>
        <v>105.22384407880823</v>
      </c>
      <c r="N161" s="41">
        <f t="shared" si="17"/>
        <v>110.48503628274864</v>
      </c>
      <c r="O161" s="41">
        <f t="shared" si="17"/>
        <v>134.29525213315773</v>
      </c>
      <c r="P161" s="41">
        <f t="shared" si="17"/>
        <v>171.39855422883804</v>
      </c>
    </row>
    <row r="162" spans="3:16" x14ac:dyDescent="0.35">
      <c r="C162" s="12" t="s">
        <v>150</v>
      </c>
      <c r="D162" s="1">
        <v>28.864885999999998</v>
      </c>
      <c r="E162" s="1">
        <v>-25.154661000000001</v>
      </c>
      <c r="F162" s="27">
        <f t="shared" si="15"/>
        <v>315.09689978061488</v>
      </c>
      <c r="H162" s="26">
        <v>13.181770495541862</v>
      </c>
      <c r="I162" s="26">
        <f t="shared" si="16"/>
        <v>13.840859020318955</v>
      </c>
      <c r="J162" s="26">
        <f t="shared" si="16"/>
        <v>16.82365064456657</v>
      </c>
      <c r="K162" s="26">
        <f t="shared" si="16"/>
        <v>21.471715131601552</v>
      </c>
      <c r="M162" s="41">
        <f t="shared" si="18"/>
        <v>16.134881287747159</v>
      </c>
      <c r="N162" s="41">
        <f t="shared" ref="N162:N177" si="19">IF($F162&lt;=$B$4,(I162/$B$8*$F162*$B$5),(I162/$B$8*$F162*$E$5))</f>
        <v>16.941625352134515</v>
      </c>
      <c r="O162" s="41">
        <f t="shared" ref="O162:O177" si="20">IF($F162&lt;=$B$4,(J162/$B$8*$F162*$B$5),(J162/$B$8*$F162*$E$5))</f>
        <v>20.59265150067796</v>
      </c>
      <c r="P162" s="41">
        <f t="shared" ref="P162:P177" si="21">IF($F162&lt;=$B$4,(K162/$B$8*$F162*$B$5),(K162/$B$8*$F162*$E$5))</f>
        <v>26.282021433303235</v>
      </c>
    </row>
    <row r="163" spans="3:16" x14ac:dyDescent="0.35">
      <c r="C163" s="12" t="s">
        <v>151</v>
      </c>
      <c r="D163" s="1">
        <v>28.995857000000001</v>
      </c>
      <c r="E163" s="1">
        <v>-25.28256</v>
      </c>
      <c r="F163" s="27">
        <f t="shared" si="15"/>
        <v>296.94659032657432</v>
      </c>
      <c r="H163" s="26">
        <v>18.521334321207558</v>
      </c>
      <c r="I163" s="26">
        <f t="shared" si="16"/>
        <v>19.447401037267937</v>
      </c>
      <c r="J163" s="26">
        <f t="shared" si="16"/>
        <v>23.638437507055663</v>
      </c>
      <c r="K163" s="26">
        <f t="shared" si="16"/>
        <v>30.169301956563604</v>
      </c>
      <c r="M163" s="41">
        <f t="shared" si="18"/>
        <v>21.364784285532057</v>
      </c>
      <c r="N163" s="41">
        <f t="shared" si="19"/>
        <v>22.433023499808659</v>
      </c>
      <c r="O163" s="41">
        <f t="shared" si="20"/>
        <v>27.267480270414303</v>
      </c>
      <c r="P163" s="41">
        <f t="shared" si="21"/>
        <v>34.800982324962291</v>
      </c>
    </row>
    <row r="164" spans="3:16" x14ac:dyDescent="0.35">
      <c r="C164" s="12" t="s">
        <v>152</v>
      </c>
      <c r="D164" s="1">
        <v>31.350878000000002</v>
      </c>
      <c r="E164" s="1">
        <v>-25.518408999999998</v>
      </c>
      <c r="F164" s="27">
        <f t="shared" si="15"/>
        <v>278.30051971021572</v>
      </c>
      <c r="H164" s="26">
        <v>29.419224611717425</v>
      </c>
      <c r="I164" s="26">
        <f t="shared" si="16"/>
        <v>30.890185842303296</v>
      </c>
      <c r="J164" s="26">
        <f t="shared" si="16"/>
        <v>37.547213954981174</v>
      </c>
      <c r="K164" s="26">
        <f t="shared" si="16"/>
        <v>47.920816893985176</v>
      </c>
      <c r="M164" s="41">
        <f t="shared" si="18"/>
        <v>31.8048343275725</v>
      </c>
      <c r="N164" s="41">
        <f t="shared" si="19"/>
        <v>33.395076043951136</v>
      </c>
      <c r="O164" s="41">
        <f t="shared" si="20"/>
        <v>40.591923650647871</v>
      </c>
      <c r="P164" s="41">
        <f t="shared" si="21"/>
        <v>51.806723741729577</v>
      </c>
    </row>
    <row r="165" spans="3:16" x14ac:dyDescent="0.35">
      <c r="C165" s="12" t="s">
        <v>153</v>
      </c>
      <c r="D165" s="1">
        <v>31.893315999999999</v>
      </c>
      <c r="E165" s="1">
        <v>-25.832609000000001</v>
      </c>
      <c r="F165" s="27">
        <f t="shared" si="15"/>
        <v>278.19205673879787</v>
      </c>
      <c r="H165" s="26">
        <v>21.376733719545705</v>
      </c>
      <c r="I165" s="26">
        <f t="shared" si="16"/>
        <v>22.445570405522989</v>
      </c>
      <c r="J165" s="26">
        <f t="shared" si="16"/>
        <v>27.282731112728232</v>
      </c>
      <c r="K165" s="26">
        <f t="shared" si="16"/>
        <v>34.820446693820152</v>
      </c>
      <c r="M165" s="41">
        <f t="shared" si="18"/>
        <v>23.101169734256491</v>
      </c>
      <c r="N165" s="41">
        <f t="shared" si="19"/>
        <v>24.256228220969319</v>
      </c>
      <c r="O165" s="41">
        <f t="shared" si="20"/>
        <v>29.483597004014587</v>
      </c>
      <c r="P165" s="41">
        <f t="shared" si="21"/>
        <v>37.629371252404056</v>
      </c>
    </row>
    <row r="166" spans="3:16" x14ac:dyDescent="0.35">
      <c r="C166" s="12" t="s">
        <v>154</v>
      </c>
      <c r="D166" s="1">
        <v>30.9694</v>
      </c>
      <c r="E166" s="1">
        <v>-25.475300000000001</v>
      </c>
      <c r="F166" s="27">
        <f t="shared" si="15"/>
        <v>268.20795731167931</v>
      </c>
      <c r="H166" s="26">
        <v>19.98393287424495</v>
      </c>
      <c r="I166" s="26">
        <f t="shared" si="16"/>
        <v>20.983129517957199</v>
      </c>
      <c r="J166" s="26">
        <f t="shared" si="16"/>
        <v>25.505125073636464</v>
      </c>
      <c r="K166" s="26">
        <f t="shared" si="16"/>
        <v>32.551720880738671</v>
      </c>
      <c r="M166" s="41">
        <f t="shared" si="18"/>
        <v>20.820948936323578</v>
      </c>
      <c r="N166" s="41">
        <f t="shared" si="19"/>
        <v>21.861996383139758</v>
      </c>
      <c r="O166" s="41">
        <f t="shared" si="20"/>
        <v>26.573393241183776</v>
      </c>
      <c r="P166" s="41">
        <f t="shared" si="21"/>
        <v>33.915131846784966</v>
      </c>
    </row>
    <row r="167" spans="3:16" x14ac:dyDescent="0.35">
      <c r="C167" s="12" t="s">
        <v>87</v>
      </c>
      <c r="D167" s="1">
        <v>29.464797000000001</v>
      </c>
      <c r="E167" s="1">
        <v>-25.75272</v>
      </c>
      <c r="F167" s="27">
        <f t="shared" si="15"/>
        <v>232.24500209168974</v>
      </c>
      <c r="H167" s="26">
        <v>72.628941539897937</v>
      </c>
      <c r="I167" s="26">
        <f t="shared" si="16"/>
        <v>76.26038861689284</v>
      </c>
      <c r="J167" s="26">
        <f t="shared" si="16"/>
        <v>92.694978991262104</v>
      </c>
      <c r="K167" s="26">
        <f t="shared" si="16"/>
        <v>118.30489262287267</v>
      </c>
      <c r="M167" s="41">
        <f t="shared" si="18"/>
        <v>238.27105962177711</v>
      </c>
      <c r="N167" s="41">
        <f t="shared" si="19"/>
        <v>250.18461260286605</v>
      </c>
      <c r="O167" s="41">
        <f t="shared" si="20"/>
        <v>304.10096027261244</v>
      </c>
      <c r="P167" s="41">
        <f t="shared" si="21"/>
        <v>388.11844873448024</v>
      </c>
    </row>
    <row r="168" spans="3:16" x14ac:dyDescent="0.35">
      <c r="C168" s="12" t="s">
        <v>155</v>
      </c>
      <c r="D168" s="1">
        <v>30.973758</v>
      </c>
      <c r="E168" s="1">
        <v>-25.492134</v>
      </c>
      <c r="F168" s="27">
        <f t="shared" si="15"/>
        <v>266.5724451926215</v>
      </c>
      <c r="H168" s="26">
        <v>15.093128010821905</v>
      </c>
      <c r="I168" s="26">
        <f t="shared" si="16"/>
        <v>15.847784411363001</v>
      </c>
      <c r="J168" s="26">
        <f t="shared" si="16"/>
        <v>19.2630810006643</v>
      </c>
      <c r="K168" s="26">
        <f t="shared" si="16"/>
        <v>24.585115118091895</v>
      </c>
      <c r="M168" s="41">
        <f t="shared" si="18"/>
        <v>15.629403716640157</v>
      </c>
      <c r="N168" s="41">
        <f t="shared" si="19"/>
        <v>16.410873902472169</v>
      </c>
      <c r="O168" s="41">
        <f t="shared" si="20"/>
        <v>19.94751979641681</v>
      </c>
      <c r="P168" s="41">
        <f t="shared" si="21"/>
        <v>25.458651733770527</v>
      </c>
    </row>
    <row r="169" spans="3:16" x14ac:dyDescent="0.35">
      <c r="C169" s="12" t="s">
        <v>156</v>
      </c>
      <c r="D169" s="1">
        <v>29.060500000000001</v>
      </c>
      <c r="E169" s="1">
        <v>-26.0474</v>
      </c>
      <c r="F169" s="27">
        <f t="shared" si="15"/>
        <v>216.98539199870922</v>
      </c>
      <c r="H169" s="26">
        <v>14.102552164934245</v>
      </c>
      <c r="I169" s="26">
        <f t="shared" si="16"/>
        <v>14.807679773180958</v>
      </c>
      <c r="J169" s="26">
        <f t="shared" si="16"/>
        <v>17.998827312300037</v>
      </c>
      <c r="K169" s="26">
        <f t="shared" si="16"/>
        <v>22.971571445309969</v>
      </c>
      <c r="M169" s="41">
        <f t="shared" si="18"/>
        <v>43.225837483144346</v>
      </c>
      <c r="N169" s="41">
        <f t="shared" si="19"/>
        <v>45.387129357301561</v>
      </c>
      <c r="O169" s="41">
        <f t="shared" si="20"/>
        <v>55.168339403358544</v>
      </c>
      <c r="P169" s="41">
        <f t="shared" si="21"/>
        <v>70.410334414248752</v>
      </c>
    </row>
    <row r="170" spans="3:16" x14ac:dyDescent="0.35">
      <c r="C170" s="12" t="s">
        <v>157</v>
      </c>
      <c r="D170" s="1">
        <v>29.037222</v>
      </c>
      <c r="E170" s="1">
        <v>-26.000229000000001</v>
      </c>
      <c r="F170" s="27">
        <f t="shared" si="15"/>
        <v>222.70646848324893</v>
      </c>
      <c r="H170" s="26">
        <v>67.925474528245246</v>
      </c>
      <c r="I170" s="26">
        <f t="shared" si="16"/>
        <v>71.321748254657507</v>
      </c>
      <c r="J170" s="26">
        <f t="shared" si="16"/>
        <v>86.6920307644628</v>
      </c>
      <c r="K170" s="26">
        <f t="shared" si="16"/>
        <v>110.64344048036665</v>
      </c>
      <c r="M170" s="41">
        <f t="shared" si="18"/>
        <v>213.68828657766022</v>
      </c>
      <c r="N170" s="41">
        <f t="shared" si="19"/>
        <v>224.3727009065432</v>
      </c>
      <c r="O170" s="41">
        <f t="shared" si="20"/>
        <v>272.72642028128394</v>
      </c>
      <c r="P170" s="41">
        <f t="shared" si="21"/>
        <v>348.07570181162879</v>
      </c>
    </row>
    <row r="171" spans="3:16" x14ac:dyDescent="0.35">
      <c r="C171" s="12" t="s">
        <v>158</v>
      </c>
      <c r="D171" s="1">
        <v>31.038425</v>
      </c>
      <c r="E171" s="1">
        <v>-24.766643999999999</v>
      </c>
      <c r="F171" s="27">
        <f t="shared" si="15"/>
        <v>345.64925747751141</v>
      </c>
      <c r="H171" s="26">
        <v>14.897093418303145</v>
      </c>
      <c r="I171" s="26">
        <f t="shared" si="16"/>
        <v>15.641948089218303</v>
      </c>
      <c r="J171" s="26">
        <f t="shared" si="16"/>
        <v>19.012885664620406</v>
      </c>
      <c r="K171" s="26">
        <f t="shared" si="16"/>
        <v>24.265795423675584</v>
      </c>
      <c r="M171" s="41">
        <f t="shared" si="18"/>
        <v>20.002536322804964</v>
      </c>
      <c r="N171" s="41">
        <f t="shared" si="19"/>
        <v>21.002663138945213</v>
      </c>
      <c r="O171" s="41">
        <f t="shared" si="20"/>
        <v>25.528868312032525</v>
      </c>
      <c r="P171" s="41">
        <f t="shared" si="21"/>
        <v>32.582023938137617</v>
      </c>
    </row>
    <row r="172" spans="3:16" x14ac:dyDescent="0.35">
      <c r="C172" s="12" t="s">
        <v>159</v>
      </c>
      <c r="D172" s="1">
        <v>29.094601999999998</v>
      </c>
      <c r="E172" s="1">
        <v>-25.122211</v>
      </c>
      <c r="F172" s="27">
        <f t="shared" si="15"/>
        <v>310.25866042884468</v>
      </c>
      <c r="H172" s="26">
        <v>91.44180365263297</v>
      </c>
      <c r="I172" s="26">
        <f t="shared" si="16"/>
        <v>96.013893835264625</v>
      </c>
      <c r="J172" s="26">
        <f t="shared" si="16"/>
        <v>116.70548804360062</v>
      </c>
      <c r="K172" s="26">
        <f t="shared" si="16"/>
        <v>148.94906263261169</v>
      </c>
      <c r="M172" s="41">
        <f t="shared" si="18"/>
        <v>110.20888156768085</v>
      </c>
      <c r="N172" s="41">
        <f t="shared" si="19"/>
        <v>115.71932564606489</v>
      </c>
      <c r="O172" s="41">
        <f t="shared" si="20"/>
        <v>140.65756356857716</v>
      </c>
      <c r="P172" s="41">
        <f t="shared" si="21"/>
        <v>179.51865500874678</v>
      </c>
    </row>
    <row r="173" spans="3:16" x14ac:dyDescent="0.35">
      <c r="C173" s="12" t="s">
        <v>160</v>
      </c>
      <c r="D173" s="1">
        <v>31.1281</v>
      </c>
      <c r="E173" s="1">
        <v>-25.450099999999999</v>
      </c>
      <c r="F173" s="27">
        <f t="shared" si="15"/>
        <v>276.2637635083442</v>
      </c>
      <c r="H173" s="26">
        <v>50.226639058599289</v>
      </c>
      <c r="I173" s="26">
        <f t="shared" si="16"/>
        <v>52.737971011529254</v>
      </c>
      <c r="J173" s="26">
        <f t="shared" si="16"/>
        <v>64.103333376832637</v>
      </c>
      <c r="K173" s="26">
        <f t="shared" si="16"/>
        <v>81.813902483642352</v>
      </c>
      <c r="M173" s="41">
        <f t="shared" si="18"/>
        <v>53.902131622646536</v>
      </c>
      <c r="N173" s="41">
        <f t="shared" si="19"/>
        <v>56.597238203778865</v>
      </c>
      <c r="O173" s="41">
        <f t="shared" si="20"/>
        <v>68.79429676943198</v>
      </c>
      <c r="P173" s="41">
        <f t="shared" si="21"/>
        <v>87.800892571979347</v>
      </c>
    </row>
    <row r="174" spans="3:16" x14ac:dyDescent="0.35">
      <c r="C174" s="12" t="s">
        <v>161</v>
      </c>
      <c r="D174" s="1">
        <v>31.196035999999999</v>
      </c>
      <c r="E174" s="1">
        <v>-24.725940999999999</v>
      </c>
      <c r="F174" s="27">
        <f t="shared" si="15"/>
        <v>354.50731261720631</v>
      </c>
      <c r="H174" s="26">
        <v>42.017941563271762</v>
      </c>
      <c r="I174" s="26">
        <f t="shared" si="16"/>
        <v>44.118838641435353</v>
      </c>
      <c r="J174" s="26">
        <f t="shared" si="16"/>
        <v>53.626724111406183</v>
      </c>
      <c r="K174" s="26">
        <f t="shared" si="16"/>
        <v>68.442799240661913</v>
      </c>
      <c r="M174" s="41">
        <f t="shared" si="18"/>
        <v>57.863922315599197</v>
      </c>
      <c r="N174" s="41">
        <f t="shared" si="19"/>
        <v>60.757118431379162</v>
      </c>
      <c r="O174" s="41">
        <f t="shared" si="20"/>
        <v>73.850657185331571</v>
      </c>
      <c r="P174" s="41">
        <f t="shared" si="21"/>
        <v>94.254232144146812</v>
      </c>
    </row>
    <row r="175" spans="3:16" x14ac:dyDescent="0.35">
      <c r="C175" s="12" t="s">
        <v>162</v>
      </c>
      <c r="D175" s="1">
        <v>31.814920999999998</v>
      </c>
      <c r="E175" s="1">
        <v>-25.669193</v>
      </c>
      <c r="F175" s="27">
        <f t="shared" si="15"/>
        <v>287.84864407285659</v>
      </c>
      <c r="H175" s="26">
        <v>26.445513577148436</v>
      </c>
      <c r="I175" s="26">
        <f t="shared" si="16"/>
        <v>27.767789256005859</v>
      </c>
      <c r="J175" s="26">
        <f t="shared" si="16"/>
        <v>33.751921389357975</v>
      </c>
      <c r="K175" s="26">
        <f t="shared" si="16"/>
        <v>43.076954968186968</v>
      </c>
      <c r="M175" s="41">
        <f t="shared" si="18"/>
        <v>29.570869304243509</v>
      </c>
      <c r="N175" s="41">
        <f t="shared" si="19"/>
        <v>31.049412769455678</v>
      </c>
      <c r="O175" s="41">
        <f t="shared" si="20"/>
        <v>37.740755280103194</v>
      </c>
      <c r="P175" s="41">
        <f t="shared" si="21"/>
        <v>48.167830118820234</v>
      </c>
    </row>
    <row r="176" spans="3:16" x14ac:dyDescent="0.35">
      <c r="C176" s="12" t="s">
        <v>163</v>
      </c>
      <c r="D176" s="1">
        <v>28.833500000000001</v>
      </c>
      <c r="E176" s="1">
        <v>-25.346900000000002</v>
      </c>
      <c r="F176" s="27">
        <f t="shared" si="15"/>
        <v>296.83212882351285</v>
      </c>
      <c r="H176" s="26">
        <v>21.194979346018815</v>
      </c>
      <c r="I176" s="26">
        <f t="shared" si="16"/>
        <v>22.254728313319756</v>
      </c>
      <c r="J176" s="26">
        <f t="shared" si="16"/>
        <v>27.050761356892124</v>
      </c>
      <c r="K176" s="26">
        <f t="shared" si="16"/>
        <v>34.524387971388904</v>
      </c>
      <c r="M176" s="41">
        <f t="shared" si="18"/>
        <v>24.43947108368754</v>
      </c>
      <c r="N176" s="41">
        <f t="shared" si="19"/>
        <v>25.661444637871917</v>
      </c>
      <c r="O176" s="41">
        <f t="shared" si="20"/>
        <v>31.191646341362301</v>
      </c>
      <c r="P176" s="41">
        <f t="shared" si="21"/>
        <v>39.809323129501294</v>
      </c>
    </row>
    <row r="177" spans="3:16" x14ac:dyDescent="0.35">
      <c r="C177" s="12" t="s">
        <v>164</v>
      </c>
      <c r="D177" s="1">
        <v>31.001169999999998</v>
      </c>
      <c r="E177" s="1">
        <v>-25.339615999999999</v>
      </c>
      <c r="F177" s="27">
        <f t="shared" si="15"/>
        <v>283.53561256185873</v>
      </c>
      <c r="H177" s="26">
        <v>7.6942938324232939</v>
      </c>
      <c r="I177" s="26">
        <f t="shared" si="16"/>
        <v>8.0790085240444593</v>
      </c>
      <c r="J177" s="26">
        <f t="shared" si="16"/>
        <v>9.8200853547793159</v>
      </c>
      <c r="K177" s="26">
        <f t="shared" si="16"/>
        <v>12.533193880481113</v>
      </c>
      <c r="M177" s="41">
        <f t="shared" si="18"/>
        <v>8.4746989653781206</v>
      </c>
      <c r="N177" s="41">
        <f t="shared" si="19"/>
        <v>8.8984339136470254</v>
      </c>
      <c r="O177" s="41">
        <f t="shared" si="20"/>
        <v>10.816102037249921</v>
      </c>
      <c r="P177" s="41">
        <f t="shared" si="21"/>
        <v>13.804391608260762</v>
      </c>
    </row>
    <row r="179" spans="3:16" x14ac:dyDescent="0.35">
      <c r="L179" s="76" t="s">
        <v>64</v>
      </c>
      <c r="M179" s="19" t="s">
        <v>1</v>
      </c>
      <c r="N179" s="19">
        <v>1</v>
      </c>
      <c r="O179" s="19">
        <v>5</v>
      </c>
      <c r="P179" s="19">
        <v>10</v>
      </c>
    </row>
    <row r="180" spans="3:16" x14ac:dyDescent="0.35">
      <c r="C180" s="22" t="s">
        <v>165</v>
      </c>
      <c r="L180" s="76"/>
      <c r="M180" s="29">
        <f>SUM(M146:M177,M106:M140,M78:M100)</f>
        <v>6948.830755707957</v>
      </c>
      <c r="N180" s="29">
        <f>SUM(N146:N177,N106:N140,N78:N100)</f>
        <v>7296.2722934933554</v>
      </c>
      <c r="O180" s="29">
        <f>SUM(O146:O177,O106:O140,O78:O100)</f>
        <v>8868.664574443008</v>
      </c>
      <c r="P180" s="29">
        <f>SUM(P146:P177,P106:P140,P78:P100)</f>
        <v>11318.913080358519</v>
      </c>
    </row>
    <row r="181" spans="3:16" x14ac:dyDescent="0.35">
      <c r="C181" s="4"/>
      <c r="D181" s="33" t="s">
        <v>1</v>
      </c>
      <c r="E181" s="33">
        <v>1</v>
      </c>
      <c r="F181" s="33">
        <v>5</v>
      </c>
      <c r="G181" s="33">
        <v>10</v>
      </c>
    </row>
    <row r="182" spans="3:16" x14ac:dyDescent="0.35">
      <c r="C182" s="44" t="s">
        <v>2</v>
      </c>
      <c r="D182" s="17">
        <f>H56</f>
        <v>0</v>
      </c>
      <c r="E182" s="17">
        <f t="shared" ref="E182:G182" si="22">I56</f>
        <v>9013306.5392102841</v>
      </c>
      <c r="F182" s="17">
        <f t="shared" si="22"/>
        <v>2507500.7999999998</v>
      </c>
      <c r="G182" s="17">
        <f t="shared" si="22"/>
        <v>2507500.7999999998</v>
      </c>
    </row>
    <row r="183" spans="3:16" x14ac:dyDescent="0.35">
      <c r="C183" s="44" t="s">
        <v>3</v>
      </c>
      <c r="D183" s="45">
        <f>H70*26</f>
        <v>111716.27946771326</v>
      </c>
      <c r="E183" s="45">
        <f t="shared" ref="E183:G183" si="23">I70*26</f>
        <v>117302.0934410989</v>
      </c>
      <c r="F183" s="45">
        <f t="shared" si="23"/>
        <v>142581.42771573976</v>
      </c>
      <c r="G183" s="45">
        <f t="shared" si="23"/>
        <v>181974.04734852511</v>
      </c>
    </row>
    <row r="184" spans="3:16" x14ac:dyDescent="0.35">
      <c r="C184" s="46" t="s">
        <v>4</v>
      </c>
      <c r="D184" s="47">
        <f>M180*26</f>
        <v>180669.59964840687</v>
      </c>
      <c r="E184" s="47">
        <f t="shared" ref="E184:G184" si="24">N180*26</f>
        <v>189703.07963082724</v>
      </c>
      <c r="F184" s="47">
        <f t="shared" si="24"/>
        <v>230585.2789355182</v>
      </c>
      <c r="G184" s="47">
        <f t="shared" si="24"/>
        <v>294291.74008932151</v>
      </c>
    </row>
    <row r="185" spans="3:16" x14ac:dyDescent="0.35">
      <c r="C185" s="48" t="s">
        <v>166</v>
      </c>
      <c r="D185" s="23">
        <f>SUM(D182:D184)</f>
        <v>292385.87911612017</v>
      </c>
      <c r="E185" s="23">
        <f t="shared" ref="E185:G185" si="25">SUM(E182:E184)</f>
        <v>9320311.7122822106</v>
      </c>
      <c r="F185" s="23">
        <f t="shared" si="25"/>
        <v>2880667.5066512576</v>
      </c>
      <c r="G185" s="23">
        <f t="shared" si="25"/>
        <v>2983766.5874378462</v>
      </c>
    </row>
    <row r="187" spans="3:16" x14ac:dyDescent="0.35">
      <c r="E187" s="17">
        <f>E185+F185*4+G185*5</f>
        <v>35761814.676076472</v>
      </c>
      <c r="F187" t="s">
        <v>167</v>
      </c>
    </row>
    <row r="195" spans="2:5" x14ac:dyDescent="0.35">
      <c r="B195" s="22" t="s">
        <v>168</v>
      </c>
    </row>
    <row r="196" spans="2:5" x14ac:dyDescent="0.35">
      <c r="B196" s="8" t="s">
        <v>24</v>
      </c>
    </row>
    <row r="197" spans="2:5" x14ac:dyDescent="0.35">
      <c r="C197" s="1" t="s">
        <v>169</v>
      </c>
    </row>
    <row r="198" spans="2:5" x14ac:dyDescent="0.35">
      <c r="D198">
        <v>2700</v>
      </c>
      <c r="E198" t="s">
        <v>25</v>
      </c>
    </row>
    <row r="199" spans="2:5" x14ac:dyDescent="0.35">
      <c r="D199">
        <v>50</v>
      </c>
      <c r="E199" t="s">
        <v>26</v>
      </c>
    </row>
    <row r="200" spans="2:5" x14ac:dyDescent="0.35">
      <c r="D200" s="16">
        <v>0.5</v>
      </c>
      <c r="E200" s="16" t="s">
        <v>27</v>
      </c>
    </row>
    <row r="201" spans="2:5" x14ac:dyDescent="0.35">
      <c r="D201">
        <f>D198/D200</f>
        <v>5400</v>
      </c>
      <c r="E201" t="s">
        <v>28</v>
      </c>
    </row>
    <row r="203" spans="2:5" x14ac:dyDescent="0.35">
      <c r="D203" s="16">
        <f>1.92*1.33</f>
        <v>2.5535999999999999</v>
      </c>
      <c r="E203" s="16" t="s">
        <v>29</v>
      </c>
    </row>
    <row r="204" spans="2:5" x14ac:dyDescent="0.35">
      <c r="C204" s="7"/>
      <c r="D204" s="42">
        <f>D203*D201</f>
        <v>13789.439999999999</v>
      </c>
      <c r="E204" t="s">
        <v>30</v>
      </c>
    </row>
    <row r="205" spans="2:5" x14ac:dyDescent="0.35">
      <c r="C205" s="1" t="s">
        <v>31</v>
      </c>
    </row>
    <row r="206" spans="2:5" x14ac:dyDescent="0.35">
      <c r="C206" s="1"/>
    </row>
    <row r="207" spans="2:5" x14ac:dyDescent="0.35">
      <c r="C207" s="1"/>
      <c r="D207" s="43">
        <v>30000</v>
      </c>
      <c r="E207" t="s">
        <v>32</v>
      </c>
    </row>
    <row r="208" spans="2:5" x14ac:dyDescent="0.35">
      <c r="C208" s="1"/>
      <c r="D208" s="15">
        <v>65</v>
      </c>
      <c r="E208" s="16" t="s">
        <v>33</v>
      </c>
    </row>
    <row r="209" spans="3:5" x14ac:dyDescent="0.35">
      <c r="C209" s="1"/>
      <c r="D209" s="14">
        <f>D207*D208</f>
        <v>1950000</v>
      </c>
      <c r="E209" t="s">
        <v>34</v>
      </c>
    </row>
    <row r="210" spans="3:5" x14ac:dyDescent="0.35">
      <c r="C210" s="1" t="s">
        <v>35</v>
      </c>
    </row>
    <row r="211" spans="3:5" x14ac:dyDescent="0.35">
      <c r="C211" s="1"/>
    </row>
    <row r="212" spans="3:5" x14ac:dyDescent="0.35">
      <c r="D212" s="43">
        <v>43560</v>
      </c>
      <c r="E212" t="s">
        <v>36</v>
      </c>
    </row>
    <row r="213" spans="3:5" x14ac:dyDescent="0.35">
      <c r="D213" s="18">
        <v>2528.98</v>
      </c>
      <c r="E213" s="16" t="s">
        <v>37</v>
      </c>
    </row>
    <row r="214" spans="3:5" x14ac:dyDescent="0.35">
      <c r="D214" s="17">
        <f>D207/D212*D213</f>
        <v>1741.7217630853993</v>
      </c>
      <c r="E214" t="s">
        <v>170</v>
      </c>
    </row>
    <row r="216" spans="3:5" x14ac:dyDescent="0.35">
      <c r="C216" t="s">
        <v>39</v>
      </c>
    </row>
    <row r="217" spans="3:5" x14ac:dyDescent="0.35">
      <c r="D217" t="s">
        <v>40</v>
      </c>
    </row>
    <row r="218" spans="3:5" x14ac:dyDescent="0.35">
      <c r="D218">
        <f>D203*D201</f>
        <v>13789.439999999999</v>
      </c>
      <c r="E218" t="s">
        <v>30</v>
      </c>
    </row>
    <row r="219" spans="3:5" x14ac:dyDescent="0.35">
      <c r="D219" s="15">
        <v>2</v>
      </c>
      <c r="E219" s="16" t="s">
        <v>41</v>
      </c>
    </row>
    <row r="220" spans="3:5" ht="16" customHeight="1" x14ac:dyDescent="0.35">
      <c r="D220" s="17">
        <f>D218*D219</f>
        <v>27578.879999999997</v>
      </c>
      <c r="E220" t="s">
        <v>42</v>
      </c>
    </row>
    <row r="222" spans="3:5" x14ac:dyDescent="0.35">
      <c r="D222" t="s">
        <v>43</v>
      </c>
    </row>
    <row r="223" spans="3:5" x14ac:dyDescent="0.35">
      <c r="D223" s="14">
        <v>1000</v>
      </c>
      <c r="E223" t="s">
        <v>44</v>
      </c>
    </row>
    <row r="224" spans="3:5" x14ac:dyDescent="0.35">
      <c r="D224" s="14">
        <f>D223*12</f>
        <v>12000</v>
      </c>
      <c r="E224" t="s">
        <v>45</v>
      </c>
    </row>
    <row r="226" spans="2:11" x14ac:dyDescent="0.35">
      <c r="D226" t="s">
        <v>46</v>
      </c>
    </row>
    <row r="227" spans="2:11" x14ac:dyDescent="0.35">
      <c r="D227">
        <v>35</v>
      </c>
      <c r="E227" t="s">
        <v>47</v>
      </c>
    </row>
    <row r="228" spans="2:11" x14ac:dyDescent="0.35">
      <c r="D228" s="15">
        <v>24000</v>
      </c>
      <c r="E228" s="16" t="s">
        <v>48</v>
      </c>
    </row>
    <row r="229" spans="2:11" x14ac:dyDescent="0.35">
      <c r="D229" s="14">
        <f>D228*D227</f>
        <v>840000</v>
      </c>
      <c r="E229" t="s">
        <v>49</v>
      </c>
    </row>
    <row r="230" spans="2:11" ht="16" customHeight="1" x14ac:dyDescent="0.35">
      <c r="G230" s="77" t="s">
        <v>50</v>
      </c>
      <c r="H230" s="77"/>
      <c r="I230" s="77"/>
      <c r="J230" s="77"/>
      <c r="K230" s="77"/>
    </row>
    <row r="231" spans="2:11" x14ac:dyDescent="0.35">
      <c r="G231" s="20"/>
      <c r="H231" s="19" t="s">
        <v>1</v>
      </c>
      <c r="I231" s="19">
        <v>1</v>
      </c>
      <c r="J231" s="19">
        <v>5</v>
      </c>
      <c r="K231" s="19">
        <v>10</v>
      </c>
    </row>
    <row r="232" spans="2:11" ht="16" customHeight="1" x14ac:dyDescent="0.35">
      <c r="G232" s="20" t="s">
        <v>18</v>
      </c>
      <c r="H232" s="23">
        <v>0</v>
      </c>
      <c r="I232" s="56">
        <f>D229+D224+D220+D214+D209</f>
        <v>2831320.6017630855</v>
      </c>
      <c r="J232" s="23">
        <f>$D$229+$D$224+$D$220</f>
        <v>879578.88</v>
      </c>
      <c r="K232" s="23">
        <f>$D$229+$D$224+$D$220</f>
        <v>879578.88</v>
      </c>
    </row>
    <row r="233" spans="2:11" x14ac:dyDescent="0.35">
      <c r="G233" s="53" t="s">
        <v>21</v>
      </c>
      <c r="H233" s="23">
        <v>0</v>
      </c>
      <c r="I233" s="56">
        <f>D229+D224+D220+D214+D209</f>
        <v>2831320.6017630855</v>
      </c>
      <c r="J233" s="23">
        <f t="shared" ref="J233:K234" si="26">$D$229+$D$224+$D$220</f>
        <v>879578.88</v>
      </c>
      <c r="K233" s="23">
        <f t="shared" si="26"/>
        <v>879578.88</v>
      </c>
    </row>
    <row r="234" spans="2:11" ht="16" customHeight="1" x14ac:dyDescent="0.35">
      <c r="G234" s="54" t="s">
        <v>171</v>
      </c>
      <c r="H234" s="55">
        <v>0</v>
      </c>
      <c r="I234" s="57">
        <f>D229+D224+D220+D214+D209</f>
        <v>2831320.6017630855</v>
      </c>
      <c r="J234" s="55">
        <f t="shared" si="26"/>
        <v>879578.88</v>
      </c>
      <c r="K234" s="55">
        <f t="shared" si="26"/>
        <v>879578.88</v>
      </c>
    </row>
    <row r="235" spans="2:11" x14ac:dyDescent="0.35">
      <c r="G235" s="53" t="s">
        <v>166</v>
      </c>
      <c r="H235" s="23">
        <v>0</v>
      </c>
      <c r="I235" s="23">
        <f>SUM(I232:I234)</f>
        <v>8493961.8052892573</v>
      </c>
      <c r="J235" s="23">
        <f>SUM(J232:J234)</f>
        <v>2638736.64</v>
      </c>
      <c r="K235" s="23">
        <f>SUM(K232:K234)</f>
        <v>2638736.64</v>
      </c>
    </row>
    <row r="237" spans="2:11" x14ac:dyDescent="0.35">
      <c r="B237" s="9" t="s">
        <v>51</v>
      </c>
    </row>
    <row r="238" spans="2:11" x14ac:dyDescent="0.35">
      <c r="B238" s="28"/>
      <c r="H238" s="1"/>
    </row>
    <row r="239" spans="2:11" x14ac:dyDescent="0.35">
      <c r="C239" s="5">
        <v>0.05</v>
      </c>
      <c r="D239" t="s">
        <v>53</v>
      </c>
      <c r="H239" s="1"/>
    </row>
    <row r="240" spans="2:11" x14ac:dyDescent="0.35">
      <c r="D240" s="2" t="s">
        <v>1</v>
      </c>
      <c r="E240" s="2">
        <v>1</v>
      </c>
      <c r="F240" s="2">
        <v>5</v>
      </c>
      <c r="G240" s="2">
        <v>10</v>
      </c>
    </row>
    <row r="241" spans="2:11" x14ac:dyDescent="0.35">
      <c r="C241" t="s">
        <v>18</v>
      </c>
      <c r="D241">
        <v>1350.16</v>
      </c>
      <c r="E241" s="27">
        <f t="shared" ref="E241:G243" si="27">$D241*(1+$C$239)^E$240</f>
        <v>1417.6680000000001</v>
      </c>
      <c r="F241" s="27">
        <f t="shared" si="27"/>
        <v>1723.1843144250004</v>
      </c>
      <c r="G241" s="27">
        <f t="shared" si="27"/>
        <v>2199.2683692898308</v>
      </c>
    </row>
    <row r="242" spans="2:11" x14ac:dyDescent="0.35">
      <c r="C242" t="s">
        <v>21</v>
      </c>
      <c r="D242">
        <v>1104.83</v>
      </c>
      <c r="E242" s="27">
        <f t="shared" si="27"/>
        <v>1160.0715</v>
      </c>
      <c r="F242" s="27">
        <f t="shared" si="27"/>
        <v>1410.074158696875</v>
      </c>
      <c r="G242" s="27">
        <f t="shared" si="27"/>
        <v>1799.6516505025206</v>
      </c>
    </row>
    <row r="243" spans="2:11" x14ac:dyDescent="0.35">
      <c r="C243" t="s">
        <v>22</v>
      </c>
      <c r="D243">
        <v>1652.4</v>
      </c>
      <c r="E243" s="27">
        <f t="shared" si="27"/>
        <v>1735.0200000000002</v>
      </c>
      <c r="F243" s="27">
        <f t="shared" si="27"/>
        <v>2108.9276538750005</v>
      </c>
      <c r="G243" s="27">
        <f t="shared" si="27"/>
        <v>2691.5854812870448</v>
      </c>
    </row>
    <row r="245" spans="2:11" x14ac:dyDescent="0.35">
      <c r="E245" s="33" t="s">
        <v>57</v>
      </c>
      <c r="F245" s="52" t="s">
        <v>58</v>
      </c>
      <c r="G245" s="33" t="s">
        <v>63</v>
      </c>
    </row>
    <row r="246" spans="2:11" x14ac:dyDescent="0.35">
      <c r="B246" s="1" t="s">
        <v>59</v>
      </c>
      <c r="D246" s="10" t="s">
        <v>60</v>
      </c>
      <c r="E246" s="10">
        <v>28.034088000000001</v>
      </c>
      <c r="F246" s="50">
        <v>-26.195246000000001</v>
      </c>
      <c r="G246" s="1"/>
    </row>
    <row r="247" spans="2:11" x14ac:dyDescent="0.35">
      <c r="B247" s="1" t="s">
        <v>61</v>
      </c>
      <c r="C247" s="1"/>
      <c r="F247" s="51"/>
    </row>
    <row r="248" spans="2:11" x14ac:dyDescent="0.35">
      <c r="C248" s="10" t="s">
        <v>18</v>
      </c>
      <c r="D248" t="s">
        <v>79</v>
      </c>
      <c r="E248" s="10">
        <v>27.896626000000001</v>
      </c>
      <c r="F248" s="50">
        <v>-33.029850000000003</v>
      </c>
      <c r="G248">
        <f>ACOS(COS(RADIANS(90-$F$246)) *COS(RADIANS(90-F248)) +SIN(RADIANS(90-$F$246)) *SIN(RADIANS(90-F248)) *COS(RADIANS($E$246-E248))) *6371</f>
        <v>760.08919053193335</v>
      </c>
      <c r="H248">
        <f>G249*0.1*(E242/B8)</f>
        <v>1229.2937656184795</v>
      </c>
    </row>
    <row r="249" spans="2:11" x14ac:dyDescent="0.35">
      <c r="C249" s="10" t="s">
        <v>21</v>
      </c>
      <c r="D249" t="s">
        <v>125</v>
      </c>
      <c r="E249" s="10">
        <v>29.663728429999999</v>
      </c>
      <c r="F249" s="50">
        <v>-23.936128660000001</v>
      </c>
      <c r="G249">
        <f>ACOS(COS(RADIANS(90-$F$246)) *COS(RADIANS(90-F249)) +SIN(RADIANS(90-$F$246)) *SIN(RADIANS(90-F249)) *COS(RADIANS($E$246-E249))) *6371</f>
        <v>300.06525351252901</v>
      </c>
    </row>
    <row r="250" spans="2:11" x14ac:dyDescent="0.35">
      <c r="B250" s="10"/>
      <c r="C250" s="10" t="s">
        <v>22</v>
      </c>
      <c r="D250" t="s">
        <v>172</v>
      </c>
      <c r="E250" s="10">
        <v>29.224304</v>
      </c>
      <c r="F250" s="50">
        <v>-25.890628</v>
      </c>
      <c r="G250">
        <f>ACOS(COS(RADIANS(90-$F$246)) *COS(RADIANS(90-F250)) +SIN(RADIANS(90-$F$246)) *SIN(RADIANS(90-F250)) *COS(RADIANS($E$246-E250))) *6371</f>
        <v>123.63790691475268</v>
      </c>
    </row>
    <row r="251" spans="2:11" x14ac:dyDescent="0.35">
      <c r="I251" s="11"/>
    </row>
    <row r="252" spans="2:11" x14ac:dyDescent="0.35">
      <c r="H252" s="1"/>
    </row>
    <row r="253" spans="2:11" ht="16" customHeight="1" x14ac:dyDescent="0.35">
      <c r="G253" s="77" t="s">
        <v>173</v>
      </c>
      <c r="H253" s="77"/>
      <c r="I253" s="77"/>
      <c r="J253" s="77"/>
      <c r="K253" s="77"/>
    </row>
    <row r="254" spans="2:11" x14ac:dyDescent="0.35">
      <c r="G254" s="20"/>
      <c r="H254" s="19" t="s">
        <v>1</v>
      </c>
      <c r="I254" s="19">
        <v>1</v>
      </c>
      <c r="J254" s="19">
        <v>5</v>
      </c>
      <c r="K254" s="19">
        <v>10</v>
      </c>
    </row>
    <row r="255" spans="2:11" x14ac:dyDescent="0.35">
      <c r="G255" s="20" t="s">
        <v>18</v>
      </c>
      <c r="H255" s="23">
        <f>(D241/$B$8)*(IF($G248&lt;=$B$4,$B$5,$E$5)*$G248)</f>
        <v>3986.554374137279</v>
      </c>
      <c r="I255" s="23">
        <f t="shared" ref="I255:K255" si="28">(E241/$B$8)*(IF($G248&lt;=$B$4,$B$5,$E$5)*$G248)</f>
        <v>4185.8820928441437</v>
      </c>
      <c r="J255" s="23">
        <f t="shared" si="28"/>
        <v>5087.9658456151374</v>
      </c>
      <c r="K255" s="23">
        <f t="shared" si="28"/>
        <v>6493.6769993883217</v>
      </c>
    </row>
    <row r="256" spans="2:11" x14ac:dyDescent="0.35">
      <c r="G256" s="53" t="s">
        <v>21</v>
      </c>
      <c r="H256" s="23">
        <f t="shared" ref="H256:H257" si="29">(D242/$B$8)*(IF($G249&lt;=$B$4,$B$5,$E$5)*$G249)</f>
        <v>1287.831563981264</v>
      </c>
      <c r="I256" s="23">
        <f t="shared" ref="I256:I257" si="30">(E242/$B$8)*(IF($G249&lt;=$B$4,$B$5,$E$5)*$G249)</f>
        <v>1352.2231421803274</v>
      </c>
      <c r="J256" s="23">
        <f t="shared" ref="J256:J257" si="31">(F242/$B$8)*(IF($G249&lt;=$B$4,$B$5,$E$5)*$G249)</f>
        <v>1643.6356807148265</v>
      </c>
      <c r="K256" s="23">
        <f t="shared" ref="K256:K257" si="32">(G242/$B$8)*(IF($G249&lt;=$B$4,$B$5,$E$5)*$G249)</f>
        <v>2097.74191476347</v>
      </c>
    </row>
    <row r="257" spans="2:16" x14ac:dyDescent="0.35">
      <c r="G257" s="54" t="s">
        <v>171</v>
      </c>
      <c r="H257" s="55">
        <f t="shared" si="29"/>
        <v>2885.9050287523232</v>
      </c>
      <c r="I257" s="55">
        <f t="shared" si="30"/>
        <v>3030.2002801899398</v>
      </c>
      <c r="J257" s="55">
        <f t="shared" si="31"/>
        <v>3683.2273793226232</v>
      </c>
      <c r="K257" s="55">
        <f t="shared" si="32"/>
        <v>4700.8351947246583</v>
      </c>
    </row>
    <row r="258" spans="2:16" x14ac:dyDescent="0.35">
      <c r="G258" s="53" t="s">
        <v>166</v>
      </c>
      <c r="H258" s="23">
        <f>SUM(H255:H257)</f>
        <v>8160.2909668708662</v>
      </c>
      <c r="I258" s="23">
        <f t="shared" ref="I258:K258" si="33">SUM(I255:I257)</f>
        <v>8568.3055152144116</v>
      </c>
      <c r="J258" s="23">
        <f t="shared" si="33"/>
        <v>10414.828905652586</v>
      </c>
      <c r="K258" s="23">
        <f t="shared" si="33"/>
        <v>13292.254108876452</v>
      </c>
    </row>
    <row r="259" spans="2:16" x14ac:dyDescent="0.35">
      <c r="B259" s="9" t="s">
        <v>65</v>
      </c>
    </row>
    <row r="260" spans="2:16" x14ac:dyDescent="0.35">
      <c r="B260" s="9"/>
    </row>
    <row r="261" spans="2:16" x14ac:dyDescent="0.35">
      <c r="B261" s="1" t="s">
        <v>61</v>
      </c>
      <c r="E261" s="33" t="s">
        <v>71</v>
      </c>
      <c r="F261" s="52" t="s">
        <v>72</v>
      </c>
    </row>
    <row r="262" spans="2:16" x14ac:dyDescent="0.35">
      <c r="B262" s="9"/>
      <c r="C262" s="10" t="s">
        <v>18</v>
      </c>
      <c r="D262" t="s">
        <v>79</v>
      </c>
      <c r="E262" s="10">
        <v>27.896626000000001</v>
      </c>
      <c r="F262" s="10">
        <v>-33.029850000000003</v>
      </c>
    </row>
    <row r="263" spans="2:16" x14ac:dyDescent="0.35">
      <c r="B263" s="9"/>
      <c r="C263" s="10" t="s">
        <v>21</v>
      </c>
      <c r="D263" t="s">
        <v>125</v>
      </c>
      <c r="E263" s="10">
        <v>29.663728429999999</v>
      </c>
      <c r="F263" s="10">
        <v>-23.936128660000001</v>
      </c>
    </row>
    <row r="264" spans="2:16" x14ac:dyDescent="0.35">
      <c r="C264" s="10" t="s">
        <v>22</v>
      </c>
      <c r="D264" t="s">
        <v>172</v>
      </c>
      <c r="E264" s="10">
        <v>29.224304</v>
      </c>
      <c r="F264" s="10">
        <v>-25.890628</v>
      </c>
    </row>
    <row r="265" spans="2:16" x14ac:dyDescent="0.35">
      <c r="B265" s="1" t="s">
        <v>66</v>
      </c>
      <c r="C265" s="1"/>
    </row>
    <row r="266" spans="2:16" x14ac:dyDescent="0.35">
      <c r="C266" s="32" t="s">
        <v>67</v>
      </c>
      <c r="H266" s="75" t="s">
        <v>68</v>
      </c>
      <c r="I266" s="75"/>
      <c r="J266" s="75"/>
      <c r="K266" s="75"/>
      <c r="M266" s="75" t="s">
        <v>69</v>
      </c>
      <c r="N266" s="75"/>
      <c r="O266" s="75"/>
      <c r="P266" s="75"/>
    </row>
    <row r="267" spans="2:16" x14ac:dyDescent="0.35">
      <c r="C267" s="33" t="s">
        <v>70</v>
      </c>
      <c r="D267" s="34" t="s">
        <v>71</v>
      </c>
      <c r="E267" s="34" t="s">
        <v>72</v>
      </c>
      <c r="F267" s="33" t="s">
        <v>73</v>
      </c>
      <c r="G267" s="33"/>
      <c r="H267" s="33" t="s">
        <v>1</v>
      </c>
      <c r="I267" s="33">
        <v>1</v>
      </c>
      <c r="J267" s="33">
        <v>5</v>
      </c>
      <c r="K267" s="33">
        <v>10</v>
      </c>
      <c r="M267" s="33" t="s">
        <v>1</v>
      </c>
      <c r="N267" s="33">
        <v>1</v>
      </c>
      <c r="O267" s="33">
        <v>5</v>
      </c>
      <c r="P267" s="33">
        <v>10</v>
      </c>
    </row>
    <row r="268" spans="2:16" x14ac:dyDescent="0.35">
      <c r="C268" s="31" t="s">
        <v>74</v>
      </c>
      <c r="D268" s="30">
        <v>26.307700000000001</v>
      </c>
      <c r="E268" s="30">
        <v>-32.677</v>
      </c>
      <c r="F268" s="27">
        <f t="shared" ref="F268:F290" si="34">ACOS(COS(RADIANS(90-$F$262)) *COS(RADIANS(90-E268)) +SIN(RADIANS(90-$F$262)) *SIN(RADIANS(90-E268)) *COS(RADIANS($E$262-D268))) *6371</f>
        <v>153.51886004851568</v>
      </c>
      <c r="H268" s="37">
        <v>11.59328412</v>
      </c>
      <c r="I268" s="38">
        <f>$H268*(1+$B$60)^I$267</f>
        <v>12.172948326</v>
      </c>
      <c r="J268" s="38">
        <f t="shared" ref="J268:K268" si="35">$H268*(1+$B$60)^J$267</f>
        <v>14.796294771180039</v>
      </c>
      <c r="K268" s="38">
        <f t="shared" si="35"/>
        <v>18.884238209772239</v>
      </c>
      <c r="M268" s="3">
        <f>IF($F268&lt;=$B$4,(H268/$B$8*$F268*$B$5),(H268/$B$8*$F268*$E$5))</f>
        <v>25.141050517232284</v>
      </c>
      <c r="N268" s="3">
        <f t="shared" ref="N268:N290" si="36">IF($F268&lt;=$B$4,(I268/$B$8*$F268*$B$5),(I268/$B$8*$F268*$E$5))</f>
        <v>26.398103043093894</v>
      </c>
      <c r="O268" s="3">
        <f t="shared" ref="O268:O290" si="37">IF($F268&lt;=$B$4,(J268/$B$8*$F268*$B$5),(J268/$B$8*$F268*$E$5))</f>
        <v>32.087059237024647</v>
      </c>
      <c r="P268" s="3">
        <f t="shared" ref="P268:P290" si="38">IF($F268&lt;=$B$4,(K268/$B$8*$F268*$B$5),(K268/$B$8*$F268*$E$5))</f>
        <v>40.952122099059878</v>
      </c>
    </row>
    <row r="269" spans="2:16" x14ac:dyDescent="0.35">
      <c r="C269" s="31" t="s">
        <v>75</v>
      </c>
      <c r="D269" s="30">
        <v>28.144600000000001</v>
      </c>
      <c r="E269" s="30">
        <v>-32.332299999999996</v>
      </c>
      <c r="F269" s="27">
        <f t="shared" si="34"/>
        <v>80.961634669483587</v>
      </c>
      <c r="H269" s="37">
        <v>7.600923259</v>
      </c>
      <c r="I269" s="38">
        <f t="shared" ref="I269:K290" si="39">$H269*(1+$B$60)^I$267</f>
        <v>7.9809694219500003</v>
      </c>
      <c r="J269" s="38">
        <f t="shared" si="39"/>
        <v>9.7009182134391132</v>
      </c>
      <c r="K269" s="38">
        <f t="shared" si="39"/>
        <v>12.38110305513278</v>
      </c>
      <c r="M269" s="3">
        <f t="shared" ref="M269:M290" si="40">IF($F269&lt;=$B$4,(H269/$B$8*$F269*$B$5),(H269/$B$8*$F269*$E$5))</f>
        <v>8.6928226743653401</v>
      </c>
      <c r="N269" s="3">
        <f t="shared" si="36"/>
        <v>9.1274638080836077</v>
      </c>
      <c r="O269" s="3">
        <f t="shared" si="37"/>
        <v>11.094489305374426</v>
      </c>
      <c r="P269" s="3">
        <f t="shared" si="38"/>
        <v>14.159692145802811</v>
      </c>
    </row>
    <row r="270" spans="2:16" x14ac:dyDescent="0.35">
      <c r="C270" s="31" t="s">
        <v>76</v>
      </c>
      <c r="D270" s="30">
        <v>25.496248000000001</v>
      </c>
      <c r="E270" s="30">
        <v>-33.800293000000003</v>
      </c>
      <c r="F270" s="27">
        <f t="shared" si="34"/>
        <v>238.68578323447039</v>
      </c>
      <c r="H270" s="37">
        <v>94.088876729999996</v>
      </c>
      <c r="I270" s="38">
        <f t="shared" si="39"/>
        <v>98.7933205665</v>
      </c>
      <c r="J270" s="38">
        <f t="shared" si="39"/>
        <v>120.0838986068343</v>
      </c>
      <c r="K270" s="38">
        <f t="shared" si="39"/>
        <v>153.26086574502204</v>
      </c>
      <c r="M270" s="3">
        <f t="shared" si="40"/>
        <v>317.23422862087136</v>
      </c>
      <c r="N270" s="3">
        <f t="shared" si="36"/>
        <v>333.09594005191491</v>
      </c>
      <c r="O270" s="3">
        <f t="shared" si="37"/>
        <v>404.88019698272797</v>
      </c>
      <c r="P270" s="3">
        <f t="shared" si="38"/>
        <v>516.74113043042371</v>
      </c>
    </row>
    <row r="271" spans="2:16" x14ac:dyDescent="0.35">
      <c r="C271" s="31" t="s">
        <v>77</v>
      </c>
      <c r="D271" s="30">
        <v>27.214426</v>
      </c>
      <c r="E271" s="30">
        <v>-32.834358000000002</v>
      </c>
      <c r="F271" s="27">
        <f t="shared" si="34"/>
        <v>67.276533475104074</v>
      </c>
      <c r="H271" s="37">
        <v>29.13368225</v>
      </c>
      <c r="I271" s="38">
        <f t="shared" si="39"/>
        <v>30.590366362499999</v>
      </c>
      <c r="J271" s="38">
        <f t="shared" si="39"/>
        <v>37.182781503408521</v>
      </c>
      <c r="K271" s="38">
        <f t="shared" si="39"/>
        <v>47.455698475266324</v>
      </c>
      <c r="M271" s="3">
        <f t="shared" si="40"/>
        <v>27.686890898068722</v>
      </c>
      <c r="N271" s="3">
        <f t="shared" si="36"/>
        <v>29.071235442972153</v>
      </c>
      <c r="O271" s="3">
        <f t="shared" si="37"/>
        <v>35.336268376154173</v>
      </c>
      <c r="P271" s="3">
        <f t="shared" si="38"/>
        <v>45.099027816037392</v>
      </c>
    </row>
    <row r="272" spans="2:16" x14ac:dyDescent="0.35">
      <c r="C272" s="31" t="s">
        <v>78</v>
      </c>
      <c r="D272" s="30">
        <v>27.904299999999999</v>
      </c>
      <c r="E272" s="30">
        <v>-32.927900000000001</v>
      </c>
      <c r="F272" s="27">
        <f t="shared" si="34"/>
        <v>11.358899941688779</v>
      </c>
      <c r="H272" s="37">
        <v>11.47994619</v>
      </c>
      <c r="I272" s="38">
        <f t="shared" si="39"/>
        <v>12.053943499500001</v>
      </c>
      <c r="J272" s="38">
        <f t="shared" si="39"/>
        <v>14.651643660789123</v>
      </c>
      <c r="K272" s="38">
        <f t="shared" si="39"/>
        <v>18.699622664585164</v>
      </c>
      <c r="M272" s="3">
        <f>IF($F272&lt;=$B$4,(H272/$B$8*$F272*$B$5),(H272/$B$8*$F272*$E$5))</f>
        <v>1.8420072311484095</v>
      </c>
      <c r="N272" s="3">
        <f t="shared" si="36"/>
        <v>1.9341075927058302</v>
      </c>
      <c r="O272" s="3">
        <f t="shared" si="37"/>
        <v>2.3509198671063909</v>
      </c>
      <c r="P272" s="3">
        <f t="shared" si="38"/>
        <v>3.0004356813028377</v>
      </c>
    </row>
    <row r="273" spans="3:16" x14ac:dyDescent="0.35">
      <c r="C273" s="31" t="s">
        <v>79</v>
      </c>
      <c r="D273" s="30">
        <v>27.9039</v>
      </c>
      <c r="E273" s="30">
        <v>-32.993341000000001</v>
      </c>
      <c r="F273" s="27">
        <f t="shared" si="34"/>
        <v>4.1158847817830484</v>
      </c>
      <c r="H273" s="37">
        <v>20.65925107</v>
      </c>
      <c r="I273" s="38">
        <f t="shared" si="39"/>
        <v>21.692213623500002</v>
      </c>
      <c r="J273" s="38">
        <f t="shared" si="39"/>
        <v>26.367021235699401</v>
      </c>
      <c r="K273" s="38">
        <f t="shared" si="39"/>
        <v>33.651743061169107</v>
      </c>
      <c r="M273" s="3">
        <f t="shared" si="40"/>
        <v>1.2011382213841397</v>
      </c>
      <c r="N273" s="3">
        <f t="shared" si="36"/>
        <v>1.261195132453347</v>
      </c>
      <c r="O273" s="3">
        <f t="shared" si="37"/>
        <v>1.5329905659666212</v>
      </c>
      <c r="P273" s="3">
        <f t="shared" si="38"/>
        <v>1.9565275948296383</v>
      </c>
    </row>
    <row r="274" spans="3:16" x14ac:dyDescent="0.35">
      <c r="C274" s="31" t="s">
        <v>80</v>
      </c>
      <c r="D274" s="30">
        <v>25.565287999999999</v>
      </c>
      <c r="E274" s="30">
        <v>-33.975603999999997</v>
      </c>
      <c r="F274" s="27">
        <f t="shared" si="34"/>
        <v>240.37817790305348</v>
      </c>
      <c r="H274" s="37">
        <v>45.115967310000002</v>
      </c>
      <c r="I274" s="38">
        <f t="shared" si="39"/>
        <v>47.371765675500001</v>
      </c>
      <c r="J274" s="38">
        <f t="shared" si="39"/>
        <v>57.58067725210573</v>
      </c>
      <c r="K274" s="38">
        <f t="shared" si="39"/>
        <v>73.489156733125711</v>
      </c>
      <c r="M274" s="3">
        <f t="shared" si="40"/>
        <v>42.128229766960857</v>
      </c>
      <c r="N274" s="3">
        <f t="shared" si="36"/>
        <v>44.234641255308901</v>
      </c>
      <c r="O274" s="3">
        <f t="shared" si="37"/>
        <v>53.767482912335815</v>
      </c>
      <c r="P274" s="3">
        <f t="shared" si="38"/>
        <v>68.622447103048017</v>
      </c>
    </row>
    <row r="275" spans="3:16" x14ac:dyDescent="0.35">
      <c r="C275" s="31" t="s">
        <v>81</v>
      </c>
      <c r="D275" s="30">
        <v>25.6022</v>
      </c>
      <c r="E275" s="30">
        <v>-33.866399999999999</v>
      </c>
      <c r="F275" s="27">
        <f t="shared" si="34"/>
        <v>232.30369921555049</v>
      </c>
      <c r="H275" s="37">
        <v>61.437656969999999</v>
      </c>
      <c r="I275" s="38">
        <f t="shared" si="39"/>
        <v>64.509539818500002</v>
      </c>
      <c r="J275" s="38">
        <f t="shared" si="39"/>
        <v>78.411748834010623</v>
      </c>
      <c r="K275" s="38">
        <f t="shared" si="39"/>
        <v>100.07546932022863</v>
      </c>
      <c r="M275" s="3">
        <f t="shared" si="40"/>
        <v>201.6071706485194</v>
      </c>
      <c r="N275" s="3">
        <f t="shared" si="36"/>
        <v>211.68752918094538</v>
      </c>
      <c r="O275" s="3">
        <f t="shared" si="37"/>
        <v>257.30751476649652</v>
      </c>
      <c r="P275" s="3">
        <f t="shared" si="38"/>
        <v>328.39683698917599</v>
      </c>
    </row>
    <row r="276" spans="3:16" x14ac:dyDescent="0.35">
      <c r="C276" s="31" t="s">
        <v>82</v>
      </c>
      <c r="D276" s="30">
        <v>25.42109</v>
      </c>
      <c r="E276" s="30">
        <v>-33.749685999999997</v>
      </c>
      <c r="F276" s="27">
        <f t="shared" si="34"/>
        <v>243.36378450231084</v>
      </c>
      <c r="H276" s="37">
        <v>152.35679339999999</v>
      </c>
      <c r="I276" s="38">
        <f t="shared" si="39"/>
        <v>159.97463306999998</v>
      </c>
      <c r="J276" s="38">
        <f t="shared" si="39"/>
        <v>194.4501663380417</v>
      </c>
      <c r="K276" s="38">
        <f t="shared" si="39"/>
        <v>248.17316212230074</v>
      </c>
      <c r="M276" s="3">
        <f t="shared" si="40"/>
        <v>144.0342157532647</v>
      </c>
      <c r="N276" s="3">
        <f t="shared" si="36"/>
        <v>151.23592654092795</v>
      </c>
      <c r="O276" s="3">
        <f t="shared" si="37"/>
        <v>183.8282139350388</v>
      </c>
      <c r="P276" s="3">
        <f t="shared" si="38"/>
        <v>234.61656011259561</v>
      </c>
    </row>
    <row r="277" spans="3:16" x14ac:dyDescent="0.35">
      <c r="C277" s="31" t="s">
        <v>83</v>
      </c>
      <c r="D277" s="30">
        <v>25.390599999999999</v>
      </c>
      <c r="E277" s="30">
        <v>-33.812199999999997</v>
      </c>
      <c r="F277" s="27">
        <f t="shared" si="34"/>
        <v>248.30795934665019</v>
      </c>
      <c r="H277" s="37">
        <v>48.728060460000002</v>
      </c>
      <c r="I277" s="38">
        <f t="shared" si="39"/>
        <v>51.164463483000006</v>
      </c>
      <c r="J277" s="38">
        <f t="shared" si="39"/>
        <v>62.190725141483277</v>
      </c>
      <c r="K277" s="38">
        <f t="shared" si="39"/>
        <v>79.372875856580308</v>
      </c>
      <c r="M277" s="3">
        <f t="shared" si="40"/>
        <v>47.002143534790861</v>
      </c>
      <c r="N277" s="3">
        <f t="shared" si="36"/>
        <v>49.352250711530409</v>
      </c>
      <c r="O277" s="3">
        <f t="shared" si="37"/>
        <v>59.987969191432164</v>
      </c>
      <c r="P277" s="3">
        <f t="shared" si="38"/>
        <v>76.561539050842896</v>
      </c>
    </row>
    <row r="278" spans="3:16" x14ac:dyDescent="0.35">
      <c r="C278" s="31" t="s">
        <v>84</v>
      </c>
      <c r="D278" s="30">
        <v>26.659355000000001</v>
      </c>
      <c r="E278" s="30">
        <v>-32.766271000000003</v>
      </c>
      <c r="F278" s="27">
        <f t="shared" si="34"/>
        <v>119.17520557667274</v>
      </c>
      <c r="H278" s="37">
        <v>11.572412119999999</v>
      </c>
      <c r="I278" s="38">
        <f t="shared" si="39"/>
        <v>12.151032726</v>
      </c>
      <c r="J278" s="38">
        <f t="shared" si="39"/>
        <v>14.769656222407537</v>
      </c>
      <c r="K278" s="38">
        <f t="shared" si="39"/>
        <v>18.850239921122139</v>
      </c>
      <c r="M278" s="3">
        <f t="shared" si="40"/>
        <v>19.481617206142765</v>
      </c>
      <c r="N278" s="3">
        <f t="shared" si="36"/>
        <v>20.455698066449905</v>
      </c>
      <c r="O278" s="3">
        <f t="shared" si="37"/>
        <v>24.864028847882771</v>
      </c>
      <c r="P278" s="3">
        <f t="shared" si="38"/>
        <v>31.7335015880209</v>
      </c>
    </row>
    <row r="279" spans="3:16" x14ac:dyDescent="0.35">
      <c r="C279" s="31" t="s">
        <v>85</v>
      </c>
      <c r="D279" s="30">
        <v>27.235299999999999</v>
      </c>
      <c r="E279" s="30">
        <v>-31.674800000000001</v>
      </c>
      <c r="F279" s="27">
        <f t="shared" si="34"/>
        <v>162.97703377558724</v>
      </c>
      <c r="H279" s="37">
        <v>15.89585387</v>
      </c>
      <c r="I279" s="38">
        <f t="shared" si="39"/>
        <v>16.6906465635</v>
      </c>
      <c r="J279" s="38">
        <f t="shared" si="39"/>
        <v>20.287585214475275</v>
      </c>
      <c r="K279" s="38">
        <f t="shared" si="39"/>
        <v>25.892670956882402</v>
      </c>
      <c r="M279" s="3">
        <f t="shared" si="40"/>
        <v>36.595313785899691</v>
      </c>
      <c r="N279" s="3">
        <f t="shared" si="36"/>
        <v>38.425079475194671</v>
      </c>
      <c r="O279" s="3">
        <f t="shared" si="37"/>
        <v>46.705924258845847</v>
      </c>
      <c r="P279" s="3">
        <f t="shared" si="38"/>
        <v>59.609909991086433</v>
      </c>
    </row>
    <row r="280" spans="3:16" x14ac:dyDescent="0.35">
      <c r="C280" s="31" t="s">
        <v>86</v>
      </c>
      <c r="D280" s="30">
        <v>27.758928000000001</v>
      </c>
      <c r="E280" s="30">
        <v>-32.937131000000001</v>
      </c>
      <c r="F280" s="27">
        <f t="shared" si="34"/>
        <v>16.469683486644865</v>
      </c>
      <c r="H280" s="37">
        <v>96.956199569999995</v>
      </c>
      <c r="I280" s="38">
        <f t="shared" si="39"/>
        <v>101.80400954850001</v>
      </c>
      <c r="J280" s="38">
        <f t="shared" si="39"/>
        <v>123.74340988126144</v>
      </c>
      <c r="K280" s="38">
        <f t="shared" si="39"/>
        <v>157.93143251233428</v>
      </c>
      <c r="M280" s="3">
        <f t="shared" si="40"/>
        <v>22.556724817965183</v>
      </c>
      <c r="N280" s="3">
        <f t="shared" si="36"/>
        <v>23.684561058863441</v>
      </c>
      <c r="O280" s="3">
        <f t="shared" si="37"/>
        <v>28.788731995555136</v>
      </c>
      <c r="P280" s="3">
        <f t="shared" si="38"/>
        <v>36.742527853680848</v>
      </c>
    </row>
    <row r="281" spans="3:16" x14ac:dyDescent="0.35">
      <c r="C281" s="31" t="s">
        <v>87</v>
      </c>
      <c r="D281" s="30">
        <v>24.991160000000001</v>
      </c>
      <c r="E281" s="30">
        <v>-31.504885999999999</v>
      </c>
      <c r="F281" s="27">
        <f t="shared" si="34"/>
        <v>321.50624623064004</v>
      </c>
      <c r="H281" s="37">
        <v>6.2619663880000003</v>
      </c>
      <c r="I281" s="38">
        <f t="shared" si="39"/>
        <v>6.5750647074000002</v>
      </c>
      <c r="J281" s="38">
        <f t="shared" si="39"/>
        <v>7.9920322459991224</v>
      </c>
      <c r="K281" s="38">
        <f t="shared" si="39"/>
        <v>10.200083402474144</v>
      </c>
      <c r="M281" s="3">
        <f t="shared" si="40"/>
        <v>7.8207435510853323</v>
      </c>
      <c r="N281" s="3">
        <f t="shared" si="36"/>
        <v>8.2117807286395976</v>
      </c>
      <c r="O281" s="3">
        <f t="shared" si="37"/>
        <v>9.981470799290987</v>
      </c>
      <c r="P281" s="3">
        <f t="shared" si="38"/>
        <v>12.739167147767224</v>
      </c>
    </row>
    <row r="282" spans="3:16" x14ac:dyDescent="0.35">
      <c r="C282" s="31" t="s">
        <v>88</v>
      </c>
      <c r="D282" s="30">
        <v>25.588459</v>
      </c>
      <c r="E282" s="30">
        <v>-33.796117000000002</v>
      </c>
      <c r="F282" s="27">
        <f t="shared" si="34"/>
        <v>230.55142061031731</v>
      </c>
      <c r="H282" s="37">
        <v>281.32985619999999</v>
      </c>
      <c r="I282" s="38">
        <f t="shared" si="39"/>
        <v>295.39634900999999</v>
      </c>
      <c r="J282" s="38">
        <f t="shared" si="39"/>
        <v>359.05610844883637</v>
      </c>
      <c r="K282" s="38">
        <f t="shared" si="39"/>
        <v>458.25669111625029</v>
      </c>
      <c r="M282" s="3">
        <f t="shared" si="40"/>
        <v>916.21802442654325</v>
      </c>
      <c r="N282" s="3">
        <f t="shared" si="36"/>
        <v>962.02892564787044</v>
      </c>
      <c r="O282" s="3">
        <f t="shared" si="37"/>
        <v>1169.3521718057718</v>
      </c>
      <c r="P282" s="3">
        <f t="shared" si="38"/>
        <v>1492.422616945039</v>
      </c>
    </row>
    <row r="283" spans="3:16" x14ac:dyDescent="0.35">
      <c r="C283" s="31" t="s">
        <v>89</v>
      </c>
      <c r="D283" s="30">
        <v>28.988068999999999</v>
      </c>
      <c r="E283" s="30">
        <v>-30.902286</v>
      </c>
      <c r="F283" s="27">
        <f t="shared" si="34"/>
        <v>258.0026588212105</v>
      </c>
      <c r="H283" s="37">
        <v>26.367565890000002</v>
      </c>
      <c r="I283" s="38">
        <f t="shared" si="39"/>
        <v>27.685944184500002</v>
      </c>
      <c r="J283" s="38">
        <f t="shared" si="39"/>
        <v>33.652438193410909</v>
      </c>
      <c r="K283" s="38">
        <f t="shared" si="39"/>
        <v>42.949986399421149</v>
      </c>
      <c r="M283" s="3">
        <f t="shared" si="40"/>
        <v>26.426650420349883</v>
      </c>
      <c r="N283" s="3">
        <f t="shared" si="36"/>
        <v>27.747982941367379</v>
      </c>
      <c r="O283" s="3">
        <f t="shared" si="37"/>
        <v>33.727846690125439</v>
      </c>
      <c r="P283" s="3">
        <f t="shared" si="38"/>
        <v>43.046228873433741</v>
      </c>
    </row>
    <row r="284" spans="3:16" x14ac:dyDescent="0.35">
      <c r="C284" s="31" t="s">
        <v>90</v>
      </c>
      <c r="D284" s="30">
        <v>28.793827</v>
      </c>
      <c r="E284" s="30">
        <v>-31.55949</v>
      </c>
      <c r="F284" s="27">
        <f t="shared" si="34"/>
        <v>183.96218890416927</v>
      </c>
      <c r="H284" s="37">
        <v>33.51879933</v>
      </c>
      <c r="I284" s="38">
        <f t="shared" si="39"/>
        <v>35.194739296500003</v>
      </c>
      <c r="J284" s="38">
        <f t="shared" si="39"/>
        <v>42.779425582016358</v>
      </c>
      <c r="K284" s="38">
        <f t="shared" si="39"/>
        <v>54.598592124668308</v>
      </c>
      <c r="M284" s="3">
        <f t="shared" si="40"/>
        <v>87.102822125440596</v>
      </c>
      <c r="N284" s="3">
        <f t="shared" si="36"/>
        <v>91.45796323171264</v>
      </c>
      <c r="O284" s="3">
        <f t="shared" si="37"/>
        <v>111.16772592041691</v>
      </c>
      <c r="P284" s="3">
        <f t="shared" si="38"/>
        <v>141.88131893728141</v>
      </c>
    </row>
    <row r="285" spans="3:16" x14ac:dyDescent="0.35">
      <c r="C285" s="31" t="s">
        <v>91</v>
      </c>
      <c r="D285" s="30">
        <v>26.891317000000001</v>
      </c>
      <c r="E285" s="30">
        <v>-33.593688</v>
      </c>
      <c r="F285" s="27">
        <f t="shared" si="34"/>
        <v>112.50571171048148</v>
      </c>
      <c r="H285" s="37">
        <v>10.743255639999999</v>
      </c>
      <c r="I285" s="38">
        <f t="shared" si="39"/>
        <v>11.280418422</v>
      </c>
      <c r="J285" s="38">
        <f t="shared" si="39"/>
        <v>13.711419094556138</v>
      </c>
      <c r="K285" s="38">
        <f t="shared" si="39"/>
        <v>17.499631386092442</v>
      </c>
      <c r="M285" s="3">
        <f t="shared" si="40"/>
        <v>17.073622930607286</v>
      </c>
      <c r="N285" s="3">
        <f t="shared" si="36"/>
        <v>17.927304077137656</v>
      </c>
      <c r="O285" s="3">
        <f t="shared" si="37"/>
        <v>21.790750151411302</v>
      </c>
      <c r="P285" s="3">
        <f t="shared" si="38"/>
        <v>27.811132651290325</v>
      </c>
    </row>
    <row r="286" spans="3:16" x14ac:dyDescent="0.35">
      <c r="C286" s="31" t="s">
        <v>92</v>
      </c>
      <c r="D286" s="30">
        <v>27.421685</v>
      </c>
      <c r="E286" s="30">
        <v>-32.881695999999998</v>
      </c>
      <c r="F286" s="27">
        <f t="shared" si="34"/>
        <v>47.276312295123297</v>
      </c>
      <c r="H286" s="37">
        <v>10.07867779</v>
      </c>
      <c r="I286" s="38">
        <f t="shared" si="39"/>
        <v>10.582611679500001</v>
      </c>
      <c r="J286" s="38">
        <f t="shared" si="39"/>
        <v>12.863230637755249</v>
      </c>
      <c r="K286" s="38">
        <f t="shared" si="39"/>
        <v>16.417104097152141</v>
      </c>
      <c r="M286" s="3">
        <f t="shared" si="40"/>
        <v>6.7307329309621142</v>
      </c>
      <c r="N286" s="3">
        <f t="shared" si="36"/>
        <v>7.0672695775102214</v>
      </c>
      <c r="O286" s="3">
        <f t="shared" si="37"/>
        <v>8.5903103418985349</v>
      </c>
      <c r="P286" s="3">
        <f t="shared" si="38"/>
        <v>10.96365470551817</v>
      </c>
    </row>
    <row r="287" spans="3:16" x14ac:dyDescent="0.35">
      <c r="C287" s="31" t="s">
        <v>93</v>
      </c>
      <c r="D287" s="30">
        <v>26.978929999999998</v>
      </c>
      <c r="E287" s="30">
        <v>-31.896100000000001</v>
      </c>
      <c r="F287" s="27">
        <f t="shared" si="34"/>
        <v>152.66036729609303</v>
      </c>
      <c r="H287" s="37">
        <v>44.547154050000003</v>
      </c>
      <c r="I287" s="38">
        <f t="shared" si="39"/>
        <v>46.774511752500004</v>
      </c>
      <c r="J287" s="38">
        <f t="shared" si="39"/>
        <v>56.854711375862216</v>
      </c>
      <c r="K287" s="38">
        <f t="shared" si="39"/>
        <v>72.562619870271945</v>
      </c>
      <c r="M287" s="3">
        <f t="shared" si="40"/>
        <v>96.064178054735464</v>
      </c>
      <c r="N287" s="3">
        <f t="shared" si="36"/>
        <v>100.86738695747225</v>
      </c>
      <c r="O287" s="3">
        <f t="shared" si="37"/>
        <v>122.60493926797602</v>
      </c>
      <c r="P287" s="3">
        <f t="shared" si="38"/>
        <v>156.47842345915004</v>
      </c>
    </row>
    <row r="288" spans="3:16" x14ac:dyDescent="0.35">
      <c r="C288" s="31" t="s">
        <v>94</v>
      </c>
      <c r="D288" s="30">
        <v>27.370021999999999</v>
      </c>
      <c r="E288" s="30">
        <v>-30.521267999999999</v>
      </c>
      <c r="F288" s="27">
        <f t="shared" si="34"/>
        <v>283.34700482950331</v>
      </c>
      <c r="H288" s="37">
        <v>14.758365980000001</v>
      </c>
      <c r="I288" s="38">
        <f t="shared" si="39"/>
        <v>15.496284279000001</v>
      </c>
      <c r="J288" s="38">
        <f t="shared" si="39"/>
        <v>18.835830392901247</v>
      </c>
      <c r="K288" s="38">
        <f t="shared" si="39"/>
        <v>24.039823044836993</v>
      </c>
      <c r="M288" s="3">
        <f t="shared" si="40"/>
        <v>16.244442092661828</v>
      </c>
      <c r="N288" s="3">
        <f t="shared" si="36"/>
        <v>17.056664197294918</v>
      </c>
      <c r="O288" s="3">
        <f t="shared" si="37"/>
        <v>20.732481935963207</v>
      </c>
      <c r="P288" s="3">
        <f t="shared" si="38"/>
        <v>26.460484439734152</v>
      </c>
    </row>
    <row r="289" spans="2:16" x14ac:dyDescent="0.35">
      <c r="C289" s="31" t="s">
        <v>95</v>
      </c>
      <c r="D289" s="30">
        <v>28.790997999999998</v>
      </c>
      <c r="E289" s="30">
        <v>-31.331956000000002</v>
      </c>
      <c r="F289" s="27">
        <f t="shared" si="34"/>
        <v>206.70754025519392</v>
      </c>
      <c r="H289" s="37">
        <v>6.0266579379999996</v>
      </c>
      <c r="I289" s="38">
        <f t="shared" si="39"/>
        <v>6.3279908348999996</v>
      </c>
      <c r="J289" s="38">
        <f t="shared" si="39"/>
        <v>7.6917124097636682</v>
      </c>
      <c r="K289" s="38">
        <f t="shared" si="39"/>
        <v>9.8167907326338142</v>
      </c>
      <c r="M289" s="3">
        <f t="shared" si="40"/>
        <v>17.597382170092693</v>
      </c>
      <c r="N289" s="3">
        <f t="shared" si="36"/>
        <v>18.477251278597329</v>
      </c>
      <c r="O289" s="3">
        <f t="shared" si="37"/>
        <v>22.459214411955546</v>
      </c>
      <c r="P289" s="3">
        <f t="shared" si="38"/>
        <v>28.664281262213144</v>
      </c>
    </row>
    <row r="290" spans="2:16" x14ac:dyDescent="0.35">
      <c r="C290" s="31" t="s">
        <v>96</v>
      </c>
      <c r="D290" s="30">
        <v>27.425003</v>
      </c>
      <c r="E290" s="30">
        <v>-32.92062</v>
      </c>
      <c r="F290" s="27">
        <f t="shared" si="34"/>
        <v>45.639743718888283</v>
      </c>
      <c r="H290" s="37">
        <v>12.70147777</v>
      </c>
      <c r="I290" s="38">
        <f t="shared" si="39"/>
        <v>13.336551658500001</v>
      </c>
      <c r="J290" s="38">
        <f t="shared" si="39"/>
        <v>16.210661894354619</v>
      </c>
      <c r="K290" s="38">
        <f t="shared" si="39"/>
        <v>20.689368891686122</v>
      </c>
      <c r="M290" s="3">
        <f t="shared" si="40"/>
        <v>8.1886565065022321</v>
      </c>
      <c r="N290" s="3">
        <f t="shared" si="36"/>
        <v>8.5980893318273441</v>
      </c>
      <c r="O290" s="3">
        <f t="shared" si="37"/>
        <v>10.451031320894463</v>
      </c>
      <c r="P290" s="3">
        <f t="shared" si="38"/>
        <v>13.338458583967622</v>
      </c>
    </row>
    <row r="291" spans="2:16" x14ac:dyDescent="0.35">
      <c r="B291" s="30"/>
      <c r="F291" s="27"/>
      <c r="H291" s="26"/>
      <c r="I291" s="26"/>
      <c r="J291" s="26"/>
      <c r="K291" s="26"/>
    </row>
    <row r="292" spans="2:16" x14ac:dyDescent="0.35">
      <c r="B292" s="30"/>
      <c r="F292" s="27"/>
      <c r="H292" s="26"/>
      <c r="I292" s="26"/>
      <c r="J292" s="26"/>
      <c r="K292" s="26"/>
    </row>
    <row r="293" spans="2:16" x14ac:dyDescent="0.35">
      <c r="B293" s="30"/>
      <c r="F293" s="27"/>
      <c r="H293" s="26"/>
      <c r="I293" s="26"/>
      <c r="J293" s="26"/>
      <c r="K293" s="26"/>
    </row>
    <row r="294" spans="2:16" x14ac:dyDescent="0.35">
      <c r="B294" s="30"/>
      <c r="C294" s="32" t="s">
        <v>97</v>
      </c>
      <c r="D294" s="10"/>
      <c r="E294" s="10"/>
      <c r="F294" s="27"/>
      <c r="H294" s="78" t="s">
        <v>68</v>
      </c>
      <c r="I294" s="78"/>
      <c r="J294" s="78"/>
      <c r="K294" s="78"/>
      <c r="M294" s="75" t="s">
        <v>69</v>
      </c>
      <c r="N294" s="75"/>
      <c r="O294" s="75"/>
      <c r="P294" s="75"/>
    </row>
    <row r="295" spans="2:16" x14ac:dyDescent="0.35">
      <c r="B295" s="30"/>
      <c r="C295" s="33" t="s">
        <v>70</v>
      </c>
      <c r="D295" s="34" t="s">
        <v>71</v>
      </c>
      <c r="E295" s="34" t="s">
        <v>72</v>
      </c>
      <c r="F295" s="36" t="s">
        <v>73</v>
      </c>
      <c r="G295" s="33"/>
      <c r="H295" s="39" t="s">
        <v>1</v>
      </c>
      <c r="I295" s="58">
        <v>1</v>
      </c>
      <c r="J295" s="58">
        <v>5</v>
      </c>
      <c r="K295" s="58">
        <v>10</v>
      </c>
      <c r="M295" s="33" t="s">
        <v>1</v>
      </c>
      <c r="N295" s="33">
        <v>1</v>
      </c>
      <c r="O295" s="33">
        <v>5</v>
      </c>
      <c r="P295" s="33">
        <v>10</v>
      </c>
    </row>
    <row r="296" spans="2:16" x14ac:dyDescent="0.35">
      <c r="C296" s="12" t="s">
        <v>98</v>
      </c>
      <c r="D296">
        <v>30.269031999999999</v>
      </c>
      <c r="E296">
        <v>-23.906012</v>
      </c>
      <c r="F296" s="27">
        <f>ACOS(COS(RADIANS(90-$F$263)) *COS(RADIANS(90-E296)) +SIN(RADIANS(90-$F$263)) *SIN(RADIANS(90-E296)) *COS(RADIANS($E$263-D296))) *6371</f>
        <v>61.616394264239574</v>
      </c>
      <c r="H296" s="26">
        <v>17.194335254048202</v>
      </c>
      <c r="I296" s="26">
        <f>$H296*(1+$B$60)^I$295</f>
        <v>18.054052016750614</v>
      </c>
      <c r="J296" s="26">
        <f t="shared" ref="J296:K296" si="41">$H296*(1+$B$60)^J$295</f>
        <v>21.944813064185475</v>
      </c>
      <c r="K296" s="26">
        <f t="shared" si="41"/>
        <v>28.00776030632905</v>
      </c>
      <c r="M296" s="3">
        <f>IF($F296&lt;=$B$4,(H296/$B$8*$F296*$B$5),(H296/$B$8*$F296*$E$5))</f>
        <v>14.965694478973615</v>
      </c>
      <c r="N296" s="3">
        <f t="shared" ref="N296:N330" si="42">IF($F296&lt;=$B$4,(I296/$B$8*$F296*$B$5),(I296/$B$8*$F296*$E$5))</f>
        <v>15.713979202922298</v>
      </c>
      <c r="O296" s="3">
        <f t="shared" ref="O296:O330" si="43">IF($F296&lt;=$B$4,(J296/$B$8*$F296*$B$5),(J296/$B$8*$F296*$E$5))</f>
        <v>19.100439933522068</v>
      </c>
      <c r="P296" s="3">
        <f t="shared" ref="P296:P330" si="44">IF($F296&lt;=$B$4,(K296/$B$8*$F296*$B$5),(K296/$B$8*$F296*$E$5))</f>
        <v>24.377539322792941</v>
      </c>
    </row>
    <row r="297" spans="2:16" x14ac:dyDescent="0.35">
      <c r="C297" s="12" t="s">
        <v>99</v>
      </c>
      <c r="D297">
        <v>30.150300000000001</v>
      </c>
      <c r="E297">
        <v>-24.5989</v>
      </c>
      <c r="F297" s="27">
        <f t="shared" ref="F297:F329" si="45">ACOS(COS(RADIANS(90-$F$263)) *COS(RADIANS(90-E297)) +SIN(RADIANS(90-$F$263)) *SIN(RADIANS(90-E297)) *COS(RADIANS($E$263-D297))) *6371</f>
        <v>88.679060495896636</v>
      </c>
      <c r="H297" s="26">
        <v>35.153179098273846</v>
      </c>
      <c r="I297" s="26">
        <f t="shared" ref="I297:K330" si="46">$H297*(1+$B$60)^I$295</f>
        <v>36.91083805318754</v>
      </c>
      <c r="J297" s="26">
        <f t="shared" si="46"/>
        <v>44.865354346387292</v>
      </c>
      <c r="K297" s="26">
        <f t="shared" si="46"/>
        <v>57.260824547323338</v>
      </c>
      <c r="M297" s="3">
        <f t="shared" ref="M297:M330" si="47">IF($F297&lt;=$B$4,(H297/$B$8*$F297*$B$5),(H297/$B$8*$F297*$E$5))</f>
        <v>44.035293427923676</v>
      </c>
      <c r="N297" s="3">
        <f t="shared" si="42"/>
        <v>46.237058099319867</v>
      </c>
      <c r="O297" s="3">
        <f t="shared" si="43"/>
        <v>56.20143310133642</v>
      </c>
      <c r="P297" s="3">
        <f t="shared" si="44"/>
        <v>71.728852853312873</v>
      </c>
    </row>
    <row r="298" spans="2:16" x14ac:dyDescent="0.35">
      <c r="C298" s="12" t="s">
        <v>100</v>
      </c>
      <c r="D298">
        <v>29.474488999999998</v>
      </c>
      <c r="E298">
        <v>-24.189086</v>
      </c>
      <c r="F298" s="27">
        <f>ACOS(COS(RADIANS(90-$F$263)) *COS(RADIANS(90-E298)) +SIN(RADIANS(90-$F$263)) *SIN(RADIANS(90-E298)) *COS(RADIANS($E$263-D298))) *6371</f>
        <v>34.063656426027386</v>
      </c>
      <c r="H298" s="26">
        <v>27.060999877183367</v>
      </c>
      <c r="I298" s="26">
        <f t="shared" si="46"/>
        <v>28.414049871042536</v>
      </c>
      <c r="J298" s="26">
        <f t="shared" si="46"/>
        <v>34.537455206063896</v>
      </c>
      <c r="K298" s="26">
        <f t="shared" si="46"/>
        <v>44.079517295168991</v>
      </c>
      <c r="M298" s="3">
        <f t="shared" si="47"/>
        <v>13.021178950209748</v>
      </c>
      <c r="N298" s="3">
        <f t="shared" si="42"/>
        <v>13.672237897720235</v>
      </c>
      <c r="O298" s="3">
        <f t="shared" si="43"/>
        <v>16.618690616165807</v>
      </c>
      <c r="P298" s="3">
        <f t="shared" si="44"/>
        <v>21.210128426304188</v>
      </c>
    </row>
    <row r="299" spans="2:16" x14ac:dyDescent="0.35">
      <c r="C299" s="12" t="s">
        <v>101</v>
      </c>
      <c r="D299">
        <v>29.111511</v>
      </c>
      <c r="E299">
        <v>-23.975783</v>
      </c>
      <c r="F299" s="27">
        <f>ACOS(COS(RADIANS(90-$F$263)) *COS(RADIANS(90-E299)) +SIN(RADIANS(90-$F$263)) *SIN(RADIANS(90-E299)) *COS(RADIANS($E$263-D299))) *6371</f>
        <v>56.287259170246251</v>
      </c>
      <c r="H299" s="26">
        <v>22.843773450071073</v>
      </c>
      <c r="I299" s="26">
        <f t="shared" si="46"/>
        <v>23.985962122574627</v>
      </c>
      <c r="J299" s="26">
        <f t="shared" si="46"/>
        <v>29.155086872252728</v>
      </c>
      <c r="K299" s="26">
        <f t="shared" si="46"/>
        <v>37.210099828141949</v>
      </c>
      <c r="M299" s="3">
        <f t="shared" si="47"/>
        <v>18.16323285522736</v>
      </c>
      <c r="N299" s="3">
        <f t="shared" si="42"/>
        <v>19.071394497988731</v>
      </c>
      <c r="O299" s="3">
        <f t="shared" si="43"/>
        <v>23.181399208520915</v>
      </c>
      <c r="P299" s="3">
        <f t="shared" si="44"/>
        <v>29.58599240278734</v>
      </c>
    </row>
    <row r="300" spans="2:16" x14ac:dyDescent="0.35">
      <c r="C300" s="12" t="s">
        <v>102</v>
      </c>
      <c r="D300">
        <v>28.942074000000002</v>
      </c>
      <c r="E300">
        <v>-23.986512000000001</v>
      </c>
      <c r="F300" s="27">
        <f t="shared" si="45"/>
        <v>73.542460779492004</v>
      </c>
      <c r="H300" s="26">
        <v>17.637295560890173</v>
      </c>
      <c r="I300" s="26">
        <f t="shared" si="46"/>
        <v>18.519160338934682</v>
      </c>
      <c r="J300" s="26">
        <f t="shared" si="46"/>
        <v>22.510155136727228</v>
      </c>
      <c r="K300" s="26">
        <f t="shared" si="46"/>
        <v>28.729295970019624</v>
      </c>
      <c r="M300" s="3">
        <f t="shared" si="47"/>
        <v>18.322526341824499</v>
      </c>
      <c r="N300" s="3">
        <f t="shared" si="42"/>
        <v>19.238652658915726</v>
      </c>
      <c r="O300" s="3">
        <f t="shared" si="43"/>
        <v>23.384702548491184</v>
      </c>
      <c r="P300" s="3">
        <f t="shared" si="44"/>
        <v>29.845464707186057</v>
      </c>
    </row>
    <row r="301" spans="2:16" x14ac:dyDescent="0.35">
      <c r="C301" s="12" t="s">
        <v>103</v>
      </c>
      <c r="D301">
        <v>29.392499999999998</v>
      </c>
      <c r="E301">
        <v>-25.168199999999999</v>
      </c>
      <c r="F301" s="27">
        <f t="shared" si="45"/>
        <v>139.71938955945257</v>
      </c>
      <c r="H301" s="26">
        <v>7.7322970405685805</v>
      </c>
      <c r="I301" s="26">
        <f t="shared" si="46"/>
        <v>8.1189118925970103</v>
      </c>
      <c r="J301" s="26">
        <f t="shared" si="46"/>
        <v>9.8685881486509945</v>
      </c>
      <c r="K301" s="26">
        <f t="shared" si="46"/>
        <v>12.595097102029273</v>
      </c>
      <c r="M301" s="3">
        <f t="shared" si="47"/>
        <v>15.260909372664514</v>
      </c>
      <c r="N301" s="3">
        <f t="shared" si="42"/>
        <v>16.023954841297744</v>
      </c>
      <c r="O301" s="3">
        <f t="shared" si="43"/>
        <v>19.477217259315168</v>
      </c>
      <c r="P301" s="3">
        <f t="shared" si="44"/>
        <v>24.858413276870728</v>
      </c>
    </row>
    <row r="302" spans="2:16" x14ac:dyDescent="0.35">
      <c r="C302" s="12" t="s">
        <v>104</v>
      </c>
      <c r="D302">
        <v>29.741910000000001</v>
      </c>
      <c r="E302">
        <v>-25.046199000000001</v>
      </c>
      <c r="F302" s="27">
        <f t="shared" si="45"/>
        <v>123.6874419503992</v>
      </c>
      <c r="H302" s="26">
        <v>17.754675642966703</v>
      </c>
      <c r="I302" s="26">
        <f t="shared" si="46"/>
        <v>18.642409425115037</v>
      </c>
      <c r="J302" s="26">
        <f t="shared" si="46"/>
        <v>22.659965171286238</v>
      </c>
      <c r="K302" s="26">
        <f t="shared" si="46"/>
        <v>28.920495755004779</v>
      </c>
      <c r="M302" s="3">
        <f t="shared" si="47"/>
        <v>31.020840078732103</v>
      </c>
      <c r="N302" s="3">
        <f t="shared" si="42"/>
        <v>32.571882082668708</v>
      </c>
      <c r="O302" s="3">
        <f t="shared" si="43"/>
        <v>39.591326245746835</v>
      </c>
      <c r="P302" s="3">
        <f t="shared" si="44"/>
        <v>50.529679722369025</v>
      </c>
    </row>
    <row r="303" spans="2:16" x14ac:dyDescent="0.35">
      <c r="C303" s="12" t="s">
        <v>105</v>
      </c>
      <c r="D303">
        <v>29.873999999999999</v>
      </c>
      <c r="E303">
        <v>-24.7576</v>
      </c>
      <c r="F303" s="27">
        <f t="shared" si="45"/>
        <v>93.794336141765683</v>
      </c>
      <c r="H303" s="26">
        <v>29.794090009426853</v>
      </c>
      <c r="I303" s="26">
        <f t="shared" si="46"/>
        <v>31.283794509898197</v>
      </c>
      <c r="J303" s="26">
        <f t="shared" si="46"/>
        <v>38.025647750496944</v>
      </c>
      <c r="K303" s="26">
        <f t="shared" si="46"/>
        <v>48.531433126078852</v>
      </c>
      <c r="M303" s="3">
        <f t="shared" si="47"/>
        <v>39.474982284495098</v>
      </c>
      <c r="N303" s="3">
        <f t="shared" si="42"/>
        <v>41.44873139871985</v>
      </c>
      <c r="O303" s="3">
        <f t="shared" si="43"/>
        <v>50.381192069715212</v>
      </c>
      <c r="P303" s="3">
        <f t="shared" si="44"/>
        <v>64.300586535348756</v>
      </c>
    </row>
    <row r="304" spans="2:16" x14ac:dyDescent="0.35">
      <c r="C304" s="12" t="s">
        <v>106</v>
      </c>
      <c r="D304">
        <v>30.409800000000001</v>
      </c>
      <c r="E304">
        <v>-23.3093</v>
      </c>
      <c r="F304" s="27">
        <f t="shared" si="45"/>
        <v>103.12701248260048</v>
      </c>
      <c r="H304" s="26">
        <v>15.03310216576488</v>
      </c>
      <c r="I304" s="26">
        <f t="shared" si="46"/>
        <v>15.784757274053126</v>
      </c>
      <c r="J304" s="26">
        <f t="shared" si="46"/>
        <v>19.186471121344539</v>
      </c>
      <c r="K304" s="26">
        <f t="shared" si="46"/>
        <v>24.487339341610735</v>
      </c>
      <c r="M304" s="3">
        <f t="shared" si="47"/>
        <v>21.89960341197737</v>
      </c>
      <c r="N304" s="3">
        <f t="shared" si="42"/>
        <v>22.99458358257624</v>
      </c>
      <c r="O304" s="3">
        <f t="shared" si="43"/>
        <v>27.950060060768813</v>
      </c>
      <c r="P304" s="3">
        <f t="shared" si="44"/>
        <v>35.672146326326867</v>
      </c>
    </row>
    <row r="305" spans="3:16" x14ac:dyDescent="0.35">
      <c r="C305" s="12" t="s">
        <v>107</v>
      </c>
      <c r="D305">
        <v>29.652799999999999</v>
      </c>
      <c r="E305">
        <v>-23.991299999999999</v>
      </c>
      <c r="F305" s="27">
        <f t="shared" si="45"/>
        <v>6.2344621910117288</v>
      </c>
      <c r="H305" s="26">
        <v>14.15162070236722</v>
      </c>
      <c r="I305" s="26">
        <f t="shared" si="46"/>
        <v>14.859201737485581</v>
      </c>
      <c r="J305" s="26">
        <f t="shared" si="46"/>
        <v>18.061452581924584</v>
      </c>
      <c r="K305" s="26">
        <f t="shared" si="46"/>
        <v>23.05149892227837</v>
      </c>
      <c r="M305" s="3">
        <f t="shared" si="47"/>
        <v>1.2462936430823113</v>
      </c>
      <c r="N305" s="3">
        <f t="shared" si="42"/>
        <v>1.3086083252364267</v>
      </c>
      <c r="O305" s="3">
        <f t="shared" si="43"/>
        <v>1.5906215981269094</v>
      </c>
      <c r="P305" s="3">
        <f t="shared" si="44"/>
        <v>2.0300810186036595</v>
      </c>
    </row>
    <row r="306" spans="3:16" x14ac:dyDescent="0.35">
      <c r="C306" s="12" t="s">
        <v>108</v>
      </c>
      <c r="D306">
        <v>29.482500000000002</v>
      </c>
      <c r="E306">
        <v>-24.301849000000001</v>
      </c>
      <c r="F306" s="27">
        <f t="shared" si="45"/>
        <v>44.632081202741631</v>
      </c>
      <c r="H306" s="26">
        <v>48.092353694151335</v>
      </c>
      <c r="I306" s="26">
        <f t="shared" si="46"/>
        <v>50.496971378858902</v>
      </c>
      <c r="J306" s="26">
        <f t="shared" si="46"/>
        <v>61.37938431707412</v>
      </c>
      <c r="K306" s="26">
        <f t="shared" si="46"/>
        <v>78.33737652148335</v>
      </c>
      <c r="M306" s="3">
        <f t="shared" si="47"/>
        <v>30.320640796195256</v>
      </c>
      <c r="N306" s="3">
        <f t="shared" si="42"/>
        <v>31.836672836005018</v>
      </c>
      <c r="O306" s="3">
        <f t="shared" si="43"/>
        <v>38.697674811369325</v>
      </c>
      <c r="P306" s="3">
        <f t="shared" si="44"/>
        <v>49.389128873371334</v>
      </c>
    </row>
    <row r="307" spans="3:16" x14ac:dyDescent="0.35">
      <c r="C307" s="12" t="s">
        <v>109</v>
      </c>
      <c r="D307">
        <v>29.709813</v>
      </c>
      <c r="E307">
        <v>-23.881985</v>
      </c>
      <c r="F307" s="27">
        <f t="shared" si="45"/>
        <v>7.6283907070203121</v>
      </c>
      <c r="H307" s="26">
        <v>21.304746747394681</v>
      </c>
      <c r="I307" s="26">
        <f t="shared" si="46"/>
        <v>22.369984084764415</v>
      </c>
      <c r="J307" s="26">
        <f t="shared" si="46"/>
        <v>27.190855467431678</v>
      </c>
      <c r="K307" s="26">
        <f t="shared" si="46"/>
        <v>34.70318750168537</v>
      </c>
      <c r="M307" s="3">
        <f t="shared" si="47"/>
        <v>2.2957495554341065</v>
      </c>
      <c r="N307" s="3">
        <f t="shared" si="42"/>
        <v>2.410537033205812</v>
      </c>
      <c r="O307" s="3">
        <f t="shared" si="43"/>
        <v>2.9300228297181223</v>
      </c>
      <c r="P307" s="3">
        <f t="shared" si="44"/>
        <v>3.7395341152733161</v>
      </c>
    </row>
    <row r="308" spans="3:16" x14ac:dyDescent="0.35">
      <c r="C308" s="12" t="s">
        <v>110</v>
      </c>
      <c r="D308">
        <v>27.726009000000001</v>
      </c>
      <c r="E308">
        <v>-23.669867</v>
      </c>
      <c r="F308" s="27">
        <f t="shared" si="45"/>
        <v>199.34590886051825</v>
      </c>
      <c r="H308" s="26">
        <v>47.088027730017728</v>
      </c>
      <c r="I308" s="26">
        <f t="shared" si="46"/>
        <v>49.442429116518618</v>
      </c>
      <c r="J308" s="26">
        <f t="shared" si="46"/>
        <v>60.097581606310364</v>
      </c>
      <c r="K308" s="26">
        <f t="shared" si="46"/>
        <v>76.701435354973043</v>
      </c>
      <c r="M308" s="3">
        <f t="shared" si="47"/>
        <v>132.59679659580192</v>
      </c>
      <c r="N308" s="3">
        <f t="shared" si="42"/>
        <v>139.22663642559206</v>
      </c>
      <c r="O308" s="3">
        <f t="shared" si="43"/>
        <v>169.2308467417848</v>
      </c>
      <c r="P308" s="3">
        <f t="shared" si="44"/>
        <v>215.98620950280315</v>
      </c>
    </row>
    <row r="309" spans="3:16" x14ac:dyDescent="0.35">
      <c r="C309" s="12" t="s">
        <v>111</v>
      </c>
      <c r="D309">
        <v>29.840713999999998</v>
      </c>
      <c r="E309">
        <v>-23.089703</v>
      </c>
      <c r="F309" s="27">
        <f t="shared" si="45"/>
        <v>95.832600715419517</v>
      </c>
      <c r="H309" s="26">
        <v>44.41504879885585</v>
      </c>
      <c r="I309" s="26">
        <f t="shared" si="46"/>
        <v>46.635801238798642</v>
      </c>
      <c r="J309" s="26">
        <f t="shared" si="46"/>
        <v>56.6861078795175</v>
      </c>
      <c r="K309" s="26">
        <f t="shared" si="46"/>
        <v>72.347434336514155</v>
      </c>
      <c r="M309" s="3">
        <f t="shared" si="47"/>
        <v>60.125489105375124</v>
      </c>
      <c r="N309" s="3">
        <f t="shared" si="42"/>
        <v>63.131763560643883</v>
      </c>
      <c r="O309" s="3">
        <f t="shared" si="43"/>
        <v>76.737053181484882</v>
      </c>
      <c r="P309" s="3">
        <f t="shared" si="44"/>
        <v>97.938086136111139</v>
      </c>
    </row>
    <row r="310" spans="3:16" x14ac:dyDescent="0.35">
      <c r="C310" s="12" t="s">
        <v>112</v>
      </c>
      <c r="D310">
        <v>30.589483000000001</v>
      </c>
      <c r="E310">
        <v>-22.697495</v>
      </c>
      <c r="F310" s="27">
        <f t="shared" si="45"/>
        <v>167.04866183881435</v>
      </c>
      <c r="H310" s="26">
        <v>34.7978041982363</v>
      </c>
      <c r="I310" s="26">
        <f t="shared" si="46"/>
        <v>36.537694408148113</v>
      </c>
      <c r="J310" s="26">
        <f t="shared" si="46"/>
        <v>44.411795913694085</v>
      </c>
      <c r="K310" s="26">
        <f t="shared" si="46"/>
        <v>56.681956282160606</v>
      </c>
      <c r="M310" s="3">
        <f t="shared" si="47"/>
        <v>82.112645708270406</v>
      </c>
      <c r="N310" s="3">
        <f t="shared" si="42"/>
        <v>86.218277993683941</v>
      </c>
      <c r="O310" s="3">
        <f t="shared" si="43"/>
        <v>104.79885576556029</v>
      </c>
      <c r="P310" s="3">
        <f t="shared" si="44"/>
        <v>133.75284738468142</v>
      </c>
    </row>
    <row r="311" spans="3:16" x14ac:dyDescent="0.35">
      <c r="C311" s="12" t="s">
        <v>113</v>
      </c>
      <c r="D311">
        <v>29.805457000000001</v>
      </c>
      <c r="E311">
        <v>-23.804531999999998</v>
      </c>
      <c r="F311" s="27">
        <f t="shared" si="45"/>
        <v>20.538062706395433</v>
      </c>
      <c r="H311" s="26">
        <v>14.965519318923372</v>
      </c>
      <c r="I311" s="26">
        <f t="shared" si="46"/>
        <v>15.713795284869541</v>
      </c>
      <c r="J311" s="26">
        <f t="shared" si="46"/>
        <v>19.100216379979457</v>
      </c>
      <c r="K311" s="26">
        <f t="shared" si="46"/>
        <v>24.377254005528275</v>
      </c>
      <c r="M311" s="3">
        <f t="shared" si="47"/>
        <v>4.3417665842067192</v>
      </c>
      <c r="N311" s="3">
        <f t="shared" si="42"/>
        <v>4.5588549134170551</v>
      </c>
      <c r="O311" s="3">
        <f t="shared" si="43"/>
        <v>5.5413166401016403</v>
      </c>
      <c r="P311" s="3">
        <f t="shared" si="44"/>
        <v>7.0722802597361714</v>
      </c>
    </row>
    <row r="312" spans="3:16" x14ac:dyDescent="0.35">
      <c r="C312" s="12" t="s">
        <v>114</v>
      </c>
      <c r="D312">
        <v>30.706330000000001</v>
      </c>
      <c r="E312">
        <v>-22.998683</v>
      </c>
      <c r="F312" s="27">
        <f t="shared" si="45"/>
        <v>148.90996529482979</v>
      </c>
      <c r="H312" s="26">
        <v>16.352021095625563</v>
      </c>
      <c r="I312" s="26">
        <f t="shared" si="46"/>
        <v>17.169622150406841</v>
      </c>
      <c r="J312" s="26">
        <f t="shared" si="46"/>
        <v>20.869783033957958</v>
      </c>
      <c r="K312" s="26">
        <f t="shared" si="46"/>
        <v>26.635719299615854</v>
      </c>
      <c r="M312" s="3">
        <f t="shared" si="47"/>
        <v>34.396195251305265</v>
      </c>
      <c r="N312" s="3">
        <f t="shared" si="42"/>
        <v>36.116005013870527</v>
      </c>
      <c r="O312" s="3">
        <f t="shared" si="43"/>
        <v>43.899229819390968</v>
      </c>
      <c r="P312" s="3">
        <f t="shared" si="44"/>
        <v>56.02777762643889</v>
      </c>
    </row>
    <row r="313" spans="3:16" x14ac:dyDescent="0.35">
      <c r="C313" s="12" t="s">
        <v>115</v>
      </c>
      <c r="D313">
        <v>29.728883</v>
      </c>
      <c r="E313">
        <v>-23.888883</v>
      </c>
      <c r="F313" s="27">
        <f t="shared" si="45"/>
        <v>8.4535872856555585</v>
      </c>
      <c r="H313" s="26">
        <v>15.85335279162503</v>
      </c>
      <c r="I313" s="26">
        <f t="shared" si="46"/>
        <v>16.646020431206281</v>
      </c>
      <c r="J313" s="26">
        <f t="shared" si="46"/>
        <v>20.233341871758931</v>
      </c>
      <c r="K313" s="26">
        <f t="shared" si="46"/>
        <v>25.823441178685165</v>
      </c>
      <c r="M313" s="3">
        <f t="shared" si="47"/>
        <v>1.8931166273396809</v>
      </c>
      <c r="N313" s="3">
        <f t="shared" si="42"/>
        <v>1.987772458706665</v>
      </c>
      <c r="O313" s="3">
        <f t="shared" si="43"/>
        <v>2.4161498471358183</v>
      </c>
      <c r="P313" s="3">
        <f t="shared" si="44"/>
        <v>3.0836875021366388</v>
      </c>
    </row>
    <row r="314" spans="3:16" x14ac:dyDescent="0.35">
      <c r="C314" s="12" t="s">
        <v>116</v>
      </c>
      <c r="D314">
        <v>30.276377</v>
      </c>
      <c r="E314">
        <v>-24.643443999999999</v>
      </c>
      <c r="F314" s="27">
        <f t="shared" si="45"/>
        <v>100.20601823416072</v>
      </c>
      <c r="H314" s="26">
        <v>20.369070980181366</v>
      </c>
      <c r="I314" s="26">
        <f t="shared" si="46"/>
        <v>21.387524529190436</v>
      </c>
      <c r="J314" s="26">
        <f t="shared" si="46"/>
        <v>25.996669737259282</v>
      </c>
      <c r="K314" s="26">
        <f t="shared" si="46"/>
        <v>33.179070272065744</v>
      </c>
      <c r="M314" s="3">
        <f t="shared" si="47"/>
        <v>28.832362623131232</v>
      </c>
      <c r="N314" s="3">
        <f t="shared" si="42"/>
        <v>30.273980754287791</v>
      </c>
      <c r="O314" s="3">
        <f t="shared" si="43"/>
        <v>36.798212819216523</v>
      </c>
      <c r="P314" s="3">
        <f t="shared" si="44"/>
        <v>46.964880554117201</v>
      </c>
    </row>
    <row r="315" spans="3:16" x14ac:dyDescent="0.35">
      <c r="C315" s="12" t="s">
        <v>117</v>
      </c>
      <c r="D315">
        <v>30.382566000000001</v>
      </c>
      <c r="E315">
        <v>-23.560040000000001</v>
      </c>
      <c r="F315" s="27">
        <f t="shared" si="45"/>
        <v>84.27106663712955</v>
      </c>
      <c r="H315" s="26">
        <v>17.415295719437577</v>
      </c>
      <c r="I315" s="26">
        <f t="shared" si="46"/>
        <v>18.286060505409456</v>
      </c>
      <c r="J315" s="26">
        <f t="shared" si="46"/>
        <v>22.226820832203355</v>
      </c>
      <c r="K315" s="26">
        <f t="shared" si="46"/>
        <v>28.367681621132046</v>
      </c>
      <c r="M315" s="3">
        <f t="shared" si="47"/>
        <v>20.731205121447747</v>
      </c>
      <c r="N315" s="3">
        <f t="shared" si="42"/>
        <v>21.767765377520135</v>
      </c>
      <c r="O315" s="3">
        <f t="shared" si="43"/>
        <v>26.458854864909338</v>
      </c>
      <c r="P315" s="3">
        <f t="shared" si="44"/>
        <v>33.768948628947214</v>
      </c>
    </row>
    <row r="316" spans="3:16" x14ac:dyDescent="0.35">
      <c r="C316" s="12" t="s">
        <v>118</v>
      </c>
      <c r="D316">
        <v>29.733868999999999</v>
      </c>
      <c r="E316">
        <v>-23.498349999999999</v>
      </c>
      <c r="F316" s="27">
        <f t="shared" si="45"/>
        <v>49.199689844738657</v>
      </c>
      <c r="H316" s="26">
        <v>42.372383515260658</v>
      </c>
      <c r="I316" s="26">
        <f t="shared" si="46"/>
        <v>44.491002691023695</v>
      </c>
      <c r="J316" s="26">
        <f t="shared" si="46"/>
        <v>54.079091839706123</v>
      </c>
      <c r="K316" s="26">
        <f t="shared" si="46"/>
        <v>69.020147831761122</v>
      </c>
      <c r="M316" s="3">
        <f t="shared" si="47"/>
        <v>29.448315941088648</v>
      </c>
      <c r="N316" s="3">
        <f t="shared" si="42"/>
        <v>30.920731738143083</v>
      </c>
      <c r="O316" s="3">
        <f t="shared" si="43"/>
        <v>37.584342682286284</v>
      </c>
      <c r="P316" s="3">
        <f t="shared" si="44"/>
        <v>47.968203604083776</v>
      </c>
    </row>
    <row r="317" spans="3:16" x14ac:dyDescent="0.35">
      <c r="C317" s="12" t="s">
        <v>119</v>
      </c>
      <c r="D317">
        <v>29.299284</v>
      </c>
      <c r="E317">
        <v>-24.344708000000001</v>
      </c>
      <c r="F317" s="27">
        <f t="shared" si="45"/>
        <v>58.579844890695369</v>
      </c>
      <c r="H317" s="26">
        <v>18.116132861988401</v>
      </c>
      <c r="I317" s="26">
        <f t="shared" si="46"/>
        <v>19.021939505087822</v>
      </c>
      <c r="J317" s="26">
        <f t="shared" si="46"/>
        <v>23.121286355556155</v>
      </c>
      <c r="K317" s="26">
        <f t="shared" si="46"/>
        <v>29.509271476879142</v>
      </c>
      <c r="M317" s="3">
        <f t="shared" si="47"/>
        <v>14.990941829307364</v>
      </c>
      <c r="N317" s="3">
        <f t="shared" si="42"/>
        <v>15.740488920772732</v>
      </c>
      <c r="O317" s="3">
        <f t="shared" si="43"/>
        <v>19.132662661255011</v>
      </c>
      <c r="P317" s="3">
        <f t="shared" si="44"/>
        <v>24.418664596091958</v>
      </c>
    </row>
    <row r="318" spans="3:16" x14ac:dyDescent="0.35">
      <c r="C318" s="12" t="s">
        <v>120</v>
      </c>
      <c r="D318">
        <v>28.705728000000001</v>
      </c>
      <c r="E318">
        <v>-23.356228999999999</v>
      </c>
      <c r="F318" s="27">
        <f t="shared" si="45"/>
        <v>116.96064195567818</v>
      </c>
      <c r="H318" s="26">
        <v>17.848481813748919</v>
      </c>
      <c r="I318" s="26">
        <f t="shared" si="46"/>
        <v>18.740905904436364</v>
      </c>
      <c r="J318" s="26">
        <f t="shared" si="46"/>
        <v>22.779688257504308</v>
      </c>
      <c r="K318" s="26">
        <f t="shared" si="46"/>
        <v>29.073296122550499</v>
      </c>
      <c r="M318" s="3">
        <f t="shared" si="47"/>
        <v>29.488740846370163</v>
      </c>
      <c r="N318" s="3">
        <f t="shared" si="42"/>
        <v>30.963177888688666</v>
      </c>
      <c r="O318" s="3">
        <f t="shared" si="43"/>
        <v>37.635936243562888</v>
      </c>
      <c r="P318" s="3">
        <f t="shared" si="44"/>
        <v>48.034051515084819</v>
      </c>
    </row>
    <row r="319" spans="3:16" x14ac:dyDescent="0.35">
      <c r="C319" s="12" t="s">
        <v>121</v>
      </c>
      <c r="D319">
        <v>28.997679000000002</v>
      </c>
      <c r="E319">
        <v>-24.186979999999998</v>
      </c>
      <c r="F319" s="27">
        <f t="shared" si="45"/>
        <v>73.152541495924083</v>
      </c>
      <c r="H319" s="26">
        <v>18.328304061720694</v>
      </c>
      <c r="I319" s="26">
        <f t="shared" si="46"/>
        <v>19.244719264806729</v>
      </c>
      <c r="J319" s="26">
        <f t="shared" si="46"/>
        <v>23.392076545867987</v>
      </c>
      <c r="K319" s="26">
        <f t="shared" si="46"/>
        <v>29.854876004079994</v>
      </c>
      <c r="M319" s="3">
        <f t="shared" si="47"/>
        <v>18.939430013023163</v>
      </c>
      <c r="N319" s="3">
        <f t="shared" si="42"/>
        <v>19.886401513674322</v>
      </c>
      <c r="O319" s="3">
        <f t="shared" si="43"/>
        <v>24.172045329880604</v>
      </c>
      <c r="P319" s="3">
        <f t="shared" si="44"/>
        <v>30.85033578244084</v>
      </c>
    </row>
    <row r="320" spans="3:16" x14ac:dyDescent="0.35">
      <c r="C320" s="12" t="s">
        <v>122</v>
      </c>
      <c r="D320">
        <v>29.881990999999999</v>
      </c>
      <c r="E320">
        <v>-24.204423999999999</v>
      </c>
      <c r="F320" s="27">
        <f t="shared" si="45"/>
        <v>37.162448294283735</v>
      </c>
      <c r="H320" s="26">
        <v>24.924958549079559</v>
      </c>
      <c r="I320" s="26">
        <f t="shared" si="46"/>
        <v>26.171206476533538</v>
      </c>
      <c r="J320" s="26">
        <f t="shared" si="46"/>
        <v>31.811265042266996</v>
      </c>
      <c r="K320" s="26">
        <f t="shared" si="46"/>
        <v>40.600131053246152</v>
      </c>
      <c r="M320" s="3">
        <f t="shared" si="47"/>
        <v>13.08440466262951</v>
      </c>
      <c r="N320" s="3">
        <f t="shared" si="42"/>
        <v>13.738624895760987</v>
      </c>
      <c r="O320" s="3">
        <f t="shared" si="43"/>
        <v>16.699384427203078</v>
      </c>
      <c r="P320" s="3">
        <f t="shared" si="44"/>
        <v>21.31311644953891</v>
      </c>
    </row>
    <row r="321" spans="3:16" x14ac:dyDescent="0.35">
      <c r="C321" s="12" t="s">
        <v>123</v>
      </c>
      <c r="D321">
        <v>29.710816000000001</v>
      </c>
      <c r="E321">
        <v>-23.497226000000001</v>
      </c>
      <c r="F321" s="27">
        <f t="shared" si="45"/>
        <v>49.038610753760757</v>
      </c>
      <c r="H321" s="26">
        <v>20.27718664898163</v>
      </c>
      <c r="I321" s="26">
        <f t="shared" si="46"/>
        <v>21.291045981430713</v>
      </c>
      <c r="J321" s="26">
        <f t="shared" si="46"/>
        <v>25.879399459466416</v>
      </c>
      <c r="K321" s="26">
        <f t="shared" si="46"/>
        <v>33.029400378689452</v>
      </c>
      <c r="M321" s="3">
        <f t="shared" si="47"/>
        <v>14.046271593310056</v>
      </c>
      <c r="N321" s="3">
        <f t="shared" si="42"/>
        <v>14.748585172975559</v>
      </c>
      <c r="O321" s="3">
        <f t="shared" si="43"/>
        <v>17.926997456409122</v>
      </c>
      <c r="P321" s="3">
        <f t="shared" si="44"/>
        <v>22.879896324599361</v>
      </c>
    </row>
    <row r="322" spans="3:16" x14ac:dyDescent="0.35">
      <c r="C322" s="12" t="s">
        <v>124</v>
      </c>
      <c r="D322">
        <v>30.300799999999999</v>
      </c>
      <c r="E322">
        <v>-23.8843</v>
      </c>
      <c r="F322" s="27">
        <f t="shared" si="45"/>
        <v>65.015703491571159</v>
      </c>
      <c r="H322" s="26">
        <v>22.417063086545092</v>
      </c>
      <c r="I322" s="26">
        <f t="shared" si="46"/>
        <v>23.537916240872349</v>
      </c>
      <c r="J322" s="26">
        <f t="shared" si="46"/>
        <v>28.610484302756845</v>
      </c>
      <c r="K322" s="26">
        <f t="shared" si="46"/>
        <v>36.515033609804227</v>
      </c>
      <c r="M322" s="3">
        <f t="shared" si="47"/>
        <v>20.587906373545366</v>
      </c>
      <c r="N322" s="3">
        <f t="shared" si="42"/>
        <v>21.617301692222636</v>
      </c>
      <c r="O322" s="3">
        <f t="shared" si="43"/>
        <v>26.275965315032188</v>
      </c>
      <c r="P322" s="3">
        <f t="shared" si="44"/>
        <v>33.535530068465086</v>
      </c>
    </row>
    <row r="323" spans="3:16" x14ac:dyDescent="0.35">
      <c r="C323" s="12" t="s">
        <v>125</v>
      </c>
      <c r="D323">
        <v>29.477878</v>
      </c>
      <c r="E323">
        <v>-23.898444999999999</v>
      </c>
      <c r="F323" s="27">
        <f t="shared" si="45"/>
        <v>19.35023824248389</v>
      </c>
      <c r="H323" s="26">
        <v>61.213040191234796</v>
      </c>
      <c r="I323" s="26">
        <f t="shared" si="46"/>
        <v>64.273692200796532</v>
      </c>
      <c r="J323" s="26">
        <f t="shared" si="46"/>
        <v>78.125074580644451</v>
      </c>
      <c r="K323" s="26">
        <f t="shared" si="46"/>
        <v>99.709592256213938</v>
      </c>
      <c r="M323" s="3">
        <f t="shared" si="47"/>
        <v>16.731908097755753</v>
      </c>
      <c r="N323" s="3">
        <f t="shared" si="42"/>
        <v>17.568503502643537</v>
      </c>
      <c r="O323" s="3">
        <f t="shared" si="43"/>
        <v>21.354625810610116</v>
      </c>
      <c r="P323" s="3">
        <f t="shared" si="44"/>
        <v>27.25451519616831</v>
      </c>
    </row>
    <row r="324" spans="3:16" x14ac:dyDescent="0.35">
      <c r="C324" s="12" t="s">
        <v>126</v>
      </c>
      <c r="D324">
        <v>30.291309999999999</v>
      </c>
      <c r="E324">
        <v>-23.991893000000001</v>
      </c>
      <c r="F324" s="27">
        <f t="shared" si="45"/>
        <v>64.069274701081014</v>
      </c>
      <c r="H324" s="26">
        <v>26.429025920607394</v>
      </c>
      <c r="I324" s="26">
        <f t="shared" si="46"/>
        <v>27.750477216637766</v>
      </c>
      <c r="J324" s="26">
        <f t="shared" si="46"/>
        <v>33.73087849730581</v>
      </c>
      <c r="K324" s="26">
        <f t="shared" si="46"/>
        <v>43.050098313039108</v>
      </c>
      <c r="M324" s="3">
        <f t="shared" si="47"/>
        <v>23.919173492372536</v>
      </c>
      <c r="N324" s="3">
        <f t="shared" si="42"/>
        <v>25.115132166991167</v>
      </c>
      <c r="O324" s="3">
        <f t="shared" si="43"/>
        <v>30.527600118553806</v>
      </c>
      <c r="P324" s="3">
        <f t="shared" si="44"/>
        <v>38.96181317868303</v>
      </c>
    </row>
    <row r="325" spans="3:16" x14ac:dyDescent="0.35">
      <c r="C325" s="12" t="s">
        <v>127</v>
      </c>
      <c r="D325">
        <v>27.982633</v>
      </c>
      <c r="E325">
        <v>-23.133323000000001</v>
      </c>
      <c r="F325" s="27">
        <f t="shared" si="45"/>
        <v>193.23259363615779</v>
      </c>
      <c r="H325" s="26">
        <v>26.85451765411106</v>
      </c>
      <c r="I325" s="26">
        <f t="shared" si="46"/>
        <v>28.197243536816615</v>
      </c>
      <c r="J325" s="26">
        <f t="shared" si="46"/>
        <v>34.273925751772701</v>
      </c>
      <c r="K325" s="26">
        <f t="shared" si="46"/>
        <v>43.743179511481451</v>
      </c>
      <c r="M325" s="3">
        <f t="shared" si="47"/>
        <v>73.301513829253096</v>
      </c>
      <c r="N325" s="3">
        <f t="shared" si="42"/>
        <v>76.966589520715758</v>
      </c>
      <c r="O325" s="3">
        <f t="shared" si="43"/>
        <v>93.553370603614496</v>
      </c>
      <c r="P325" s="3">
        <f t="shared" si="44"/>
        <v>119.40044201112269</v>
      </c>
    </row>
    <row r="326" spans="3:16" x14ac:dyDescent="0.35">
      <c r="C326" s="12" t="s">
        <v>128</v>
      </c>
      <c r="D326">
        <v>30.286061</v>
      </c>
      <c r="E326">
        <v>-23.400110000000002</v>
      </c>
      <c r="F326" s="27">
        <f t="shared" si="45"/>
        <v>87.002161745929499</v>
      </c>
      <c r="H326" s="26">
        <v>22.65276917276568</v>
      </c>
      <c r="I326" s="26">
        <f t="shared" si="46"/>
        <v>23.785407631403967</v>
      </c>
      <c r="J326" s="26">
        <f t="shared" si="46"/>
        <v>28.911311634769216</v>
      </c>
      <c r="K326" s="26">
        <f t="shared" si="46"/>
        <v>36.898973987147684</v>
      </c>
      <c r="M326" s="3">
        <f t="shared" si="47"/>
        <v>27.839827997222365</v>
      </c>
      <c r="N326" s="3">
        <f t="shared" si="42"/>
        <v>29.231819397083484</v>
      </c>
      <c r="O326" s="3">
        <f t="shared" si="43"/>
        <v>35.531459176026203</v>
      </c>
      <c r="P326" s="3">
        <f t="shared" si="44"/>
        <v>45.348146235083689</v>
      </c>
    </row>
    <row r="327" spans="3:16" x14ac:dyDescent="0.35">
      <c r="C327" s="12" t="s">
        <v>129</v>
      </c>
      <c r="D327">
        <v>29.761925999999999</v>
      </c>
      <c r="E327">
        <v>-24.955100999999999</v>
      </c>
      <c r="F327" s="27">
        <f t="shared" si="45"/>
        <v>113.73972902828881</v>
      </c>
      <c r="H327" s="26">
        <v>22.078418491482697</v>
      </c>
      <c r="I327" s="26">
        <f t="shared" si="46"/>
        <v>23.182339416056834</v>
      </c>
      <c r="J327" s="26">
        <f t="shared" si="46"/>
        <v>28.178278449838434</v>
      </c>
      <c r="K327" s="26">
        <f t="shared" si="46"/>
        <v>35.963417248519875</v>
      </c>
      <c r="M327" s="3">
        <f t="shared" si="47"/>
        <v>35.472790559884551</v>
      </c>
      <c r="N327" s="3">
        <f t="shared" si="42"/>
        <v>37.246430087878785</v>
      </c>
      <c r="O327" s="3">
        <f t="shared" si="43"/>
        <v>45.273268562004709</v>
      </c>
      <c r="P327" s="3">
        <f t="shared" si="44"/>
        <v>57.781437939797506</v>
      </c>
    </row>
    <row r="328" spans="3:16" x14ac:dyDescent="0.35">
      <c r="C328" s="12" t="s">
        <v>130</v>
      </c>
      <c r="D328">
        <v>30.677278000000001</v>
      </c>
      <c r="E328">
        <v>-24.359541</v>
      </c>
      <c r="F328" s="27">
        <f t="shared" si="45"/>
        <v>113.10378303737002</v>
      </c>
      <c r="H328" s="26">
        <v>19.180443537746648</v>
      </c>
      <c r="I328" s="26">
        <f t="shared" si="46"/>
        <v>20.139465714633982</v>
      </c>
      <c r="J328" s="26">
        <f t="shared" si="46"/>
        <v>24.47964644779832</v>
      </c>
      <c r="K328" s="26">
        <f t="shared" si="46"/>
        <v>31.242921417843615</v>
      </c>
      <c r="M328" s="3">
        <f t="shared" si="47"/>
        <v>30.644390044282098</v>
      </c>
      <c r="N328" s="3">
        <f t="shared" si="42"/>
        <v>32.176609546496209</v>
      </c>
      <c r="O328" s="3">
        <f t="shared" si="43"/>
        <v>39.110870007575805</v>
      </c>
      <c r="P328" s="3">
        <f t="shared" si="44"/>
        <v>49.91648228400323</v>
      </c>
    </row>
    <row r="329" spans="3:16" x14ac:dyDescent="0.35">
      <c r="C329" s="12" t="s">
        <v>131</v>
      </c>
      <c r="D329">
        <v>30.449963</v>
      </c>
      <c r="E329">
        <v>-22.959624000000002</v>
      </c>
      <c r="F329" s="27">
        <f t="shared" si="45"/>
        <v>134.99207815627921</v>
      </c>
      <c r="H329" s="26">
        <v>24.152209260139401</v>
      </c>
      <c r="I329" s="26">
        <f t="shared" si="46"/>
        <v>25.359819723146373</v>
      </c>
      <c r="J329" s="26">
        <f t="shared" si="46"/>
        <v>30.825019372357687</v>
      </c>
      <c r="K329" s="26">
        <f t="shared" si="46"/>
        <v>39.341403888645438</v>
      </c>
      <c r="M329" s="3">
        <f t="shared" si="47"/>
        <v>46.055377931881509</v>
      </c>
      <c r="N329" s="3">
        <f t="shared" si="42"/>
        <v>48.358146828475583</v>
      </c>
      <c r="O329" s="3">
        <f t="shared" si="43"/>
        <v>58.779629708429745</v>
      </c>
      <c r="P329" s="3">
        <f t="shared" si="44"/>
        <v>75.019357647446142</v>
      </c>
    </row>
    <row r="330" spans="3:16" x14ac:dyDescent="0.35">
      <c r="C330" s="12" t="s">
        <v>132</v>
      </c>
      <c r="D330">
        <v>30.318300000000001</v>
      </c>
      <c r="E330">
        <v>-24.581</v>
      </c>
      <c r="F330" s="27">
        <f>ACOS(COS(RADIANS(90-$F$263)) *COS(RADIANS(90-E330)) +SIN(RADIANS(90-$F$263)) *SIN(RADIANS(90-E330)) *COS(RADIANS($E$263-D330))) *6371</f>
        <v>97.699202166780026</v>
      </c>
      <c r="H330" s="26">
        <v>26.573911152925486</v>
      </c>
      <c r="I330" s="26">
        <f t="shared" si="46"/>
        <v>27.90260671057176</v>
      </c>
      <c r="J330" s="26">
        <f t="shared" si="46"/>
        <v>33.915792847991916</v>
      </c>
      <c r="K330" s="26">
        <f t="shared" si="46"/>
        <v>43.286101089461454</v>
      </c>
      <c r="M330" s="3">
        <f t="shared" si="47"/>
        <v>36.674288770805184</v>
      </c>
      <c r="N330" s="3">
        <f t="shared" si="42"/>
        <v>38.508003209345446</v>
      </c>
      <c r="O330" s="3">
        <f t="shared" si="43"/>
        <v>46.806718575979453</v>
      </c>
      <c r="P330" s="3">
        <f t="shared" si="44"/>
        <v>59.738551919648835</v>
      </c>
    </row>
    <row r="331" spans="3:16" x14ac:dyDescent="0.35">
      <c r="C331" s="13"/>
      <c r="D331" s="10"/>
      <c r="E331" s="10"/>
      <c r="F331" s="27"/>
      <c r="H331" s="40"/>
      <c r="I331" s="26"/>
      <c r="J331" s="26"/>
      <c r="K331" s="26"/>
      <c r="M331" s="11"/>
    </row>
    <row r="332" spans="3:16" x14ac:dyDescent="0.35">
      <c r="F332" s="27"/>
      <c r="H332" s="26"/>
      <c r="I332" s="26"/>
      <c r="J332" s="26"/>
      <c r="K332" s="26"/>
    </row>
    <row r="333" spans="3:16" x14ac:dyDescent="0.35">
      <c r="F333" s="27"/>
      <c r="H333" s="26"/>
      <c r="I333" s="26"/>
      <c r="J333" s="26"/>
      <c r="K333" s="26"/>
    </row>
    <row r="334" spans="3:16" x14ac:dyDescent="0.35">
      <c r="C334" s="32" t="s">
        <v>133</v>
      </c>
      <c r="F334" s="27"/>
      <c r="H334" s="78" t="s">
        <v>68</v>
      </c>
      <c r="I334" s="78"/>
      <c r="J334" s="78"/>
      <c r="K334" s="78"/>
      <c r="M334" s="75" t="s">
        <v>69</v>
      </c>
      <c r="N334" s="75"/>
      <c r="O334" s="75"/>
      <c r="P334" s="75"/>
    </row>
    <row r="335" spans="3:16" x14ac:dyDescent="0.35">
      <c r="C335" s="33" t="s">
        <v>70</v>
      </c>
      <c r="D335" s="34" t="s">
        <v>71</v>
      </c>
      <c r="E335" s="34" t="s">
        <v>72</v>
      </c>
      <c r="F335" s="36" t="s">
        <v>73</v>
      </c>
      <c r="G335" s="33"/>
      <c r="H335" s="39" t="s">
        <v>1</v>
      </c>
      <c r="I335" s="58">
        <v>1</v>
      </c>
      <c r="J335" s="58">
        <v>5</v>
      </c>
      <c r="K335" s="58">
        <v>10</v>
      </c>
      <c r="M335" s="33" t="s">
        <v>1</v>
      </c>
      <c r="N335" s="33">
        <v>1</v>
      </c>
      <c r="O335" s="33">
        <v>5</v>
      </c>
      <c r="P335" s="33">
        <v>10</v>
      </c>
    </row>
    <row r="336" spans="3:16" x14ac:dyDescent="0.35">
      <c r="C336" s="12" t="s">
        <v>134</v>
      </c>
      <c r="D336" s="1">
        <v>30.372968</v>
      </c>
      <c r="E336" s="1">
        <v>-24.568518000000001</v>
      </c>
      <c r="F336" s="27">
        <f>ACOS(COS(RADIANS(90-$F$264)) *COS(RADIANS(90-E336)) +SIN(RADIANS(90-$F$264)) *SIN(RADIANS(90-E336)) *COS(RADIANS($E$264-D336))) *6371</f>
        <v>186.97934736039403</v>
      </c>
      <c r="H336" s="26">
        <v>22.0061432528606</v>
      </c>
      <c r="I336" s="26">
        <f>$H336*(1+$B$60)^I$335</f>
        <v>23.10645041550363</v>
      </c>
      <c r="J336" s="26">
        <f t="shared" ref="J336:K351" si="48">$H336*(1+$B$60)^J$335</f>
        <v>28.086034895359763</v>
      </c>
      <c r="K336" s="26">
        <f t="shared" si="48"/>
        <v>35.84568850067928</v>
      </c>
      <c r="M336" s="41">
        <f>IF($F336&lt;=$B$4,(H336/$B$8*$F336*$B$5),(H336/$B$8*$F336*$E$5))</f>
        <v>58.12363672414314</v>
      </c>
      <c r="N336" s="41">
        <f t="shared" ref="N336:N367" si="49">IF($F336&lt;=$B$4,(I336/$B$8*$F336*$B$5),(I336/$B$8*$F336*$E$5))</f>
        <v>61.029818560350307</v>
      </c>
      <c r="O336" s="41">
        <f t="shared" ref="O336:O367" si="50">IF($F336&lt;=$B$4,(J336/$B$8*$F336*$B$5),(J336/$B$8*$F336*$E$5))</f>
        <v>74.182125896471803</v>
      </c>
      <c r="P336" s="41">
        <f t="shared" ref="P336:P367" si="51">IF($F336&lt;=$B$4,(K336/$B$8*$F336*$B$5),(K336/$B$8*$F336*$E$5))</f>
        <v>94.677279548720747</v>
      </c>
    </row>
    <row r="337" spans="3:16" x14ac:dyDescent="0.35">
      <c r="C337" s="12" t="s">
        <v>135</v>
      </c>
      <c r="D337" s="35">
        <v>31.039044000000001</v>
      </c>
      <c r="E337" s="1">
        <v>-25.777819999999998</v>
      </c>
      <c r="F337" s="27">
        <f t="shared" ref="F337:F367" si="52">ACOS(COS(RADIANS(90-$F$264)) *COS(RADIANS(90-E337)) +SIN(RADIANS(90-$F$264)) *SIN(RADIANS(90-E337)) *COS(RADIANS($E$264-D337))) *6371</f>
        <v>182.05388333748499</v>
      </c>
      <c r="H337" s="26">
        <v>26.254118402550034</v>
      </c>
      <c r="I337" s="26">
        <f t="shared" ref="I337:K367" si="53">$H337*(1+$B$60)^I$335</f>
        <v>27.566824322677537</v>
      </c>
      <c r="J337" s="26">
        <f t="shared" si="48"/>
        <v>33.507647256866562</v>
      </c>
      <c r="K337" s="26">
        <f t="shared" si="48"/>
        <v>42.765192396692498</v>
      </c>
      <c r="M337" s="41">
        <f t="shared" ref="M337:M367" si="54">IF($F337&lt;=$B$4,(H337/$B$8*$F337*$B$5),(H337/$B$8*$F337*$E$5))</f>
        <v>67.516915147118979</v>
      </c>
      <c r="N337" s="41">
        <f t="shared" si="49"/>
        <v>70.89276090447494</v>
      </c>
      <c r="O337" s="41">
        <f t="shared" si="50"/>
        <v>86.170593959144938</v>
      </c>
      <c r="P337" s="41">
        <f t="shared" si="51"/>
        <v>109.97794029973056</v>
      </c>
    </row>
    <row r="338" spans="3:16" x14ac:dyDescent="0.35">
      <c r="C338" s="12" t="s">
        <v>136</v>
      </c>
      <c r="D338" s="1">
        <v>30.0273</v>
      </c>
      <c r="E338" s="1">
        <v>-25.682300000000001</v>
      </c>
      <c r="F338" s="27">
        <f t="shared" si="52"/>
        <v>83.668360029898793</v>
      </c>
      <c r="H338" s="26">
        <v>32.571042931846947</v>
      </c>
      <c r="I338" s="26">
        <f t="shared" si="53"/>
        <v>34.199595078439295</v>
      </c>
      <c r="J338" s="26">
        <f t="shared" si="48"/>
        <v>41.569821565312203</v>
      </c>
      <c r="K338" s="26">
        <f t="shared" si="48"/>
        <v>53.054796820222862</v>
      </c>
      <c r="M338" s="41">
        <f t="shared" si="54"/>
        <v>38.49533700188384</v>
      </c>
      <c r="N338" s="41">
        <f t="shared" si="49"/>
        <v>40.420103851978034</v>
      </c>
      <c r="O338" s="41">
        <f t="shared" si="50"/>
        <v>49.130888857728365</v>
      </c>
      <c r="P338" s="41">
        <f t="shared" si="51"/>
        <v>62.704847598355414</v>
      </c>
    </row>
    <row r="339" spans="3:16" x14ac:dyDescent="0.35">
      <c r="C339" s="12" t="s">
        <v>137</v>
      </c>
      <c r="D339" s="1">
        <v>29.476251000000001</v>
      </c>
      <c r="E339" s="1">
        <v>-26.454215000000001</v>
      </c>
      <c r="F339" s="27">
        <f t="shared" si="52"/>
        <v>67.523580832427797</v>
      </c>
      <c r="H339" s="26">
        <v>47.447489038582518</v>
      </c>
      <c r="I339" s="26">
        <f t="shared" si="53"/>
        <v>49.819863490511644</v>
      </c>
      <c r="J339" s="26">
        <f t="shared" si="48"/>
        <v>60.556355446863726</v>
      </c>
      <c r="K339" s="26">
        <f t="shared" si="48"/>
        <v>77.286959949028613</v>
      </c>
      <c r="M339" s="41">
        <f t="shared" si="54"/>
        <v>45.256806358230072</v>
      </c>
      <c r="N339" s="41">
        <f t="shared" si="49"/>
        <v>47.519646676141576</v>
      </c>
      <c r="O339" s="41">
        <f t="shared" si="50"/>
        <v>57.760427532641813</v>
      </c>
      <c r="P339" s="41">
        <f t="shared" si="51"/>
        <v>73.718568702028094</v>
      </c>
    </row>
    <row r="340" spans="3:16" x14ac:dyDescent="0.35">
      <c r="C340" s="12" t="s">
        <v>138</v>
      </c>
      <c r="D340" s="1">
        <v>31.166733000000001</v>
      </c>
      <c r="E340" s="1">
        <v>-25.352080000000001</v>
      </c>
      <c r="F340" s="27">
        <f t="shared" si="52"/>
        <v>203.74653444040098</v>
      </c>
      <c r="H340" s="26">
        <v>41.581411365610464</v>
      </c>
      <c r="I340" s="26">
        <f t="shared" si="53"/>
        <v>43.660481933890992</v>
      </c>
      <c r="J340" s="26">
        <f t="shared" si="48"/>
        <v>53.069588668656586</v>
      </c>
      <c r="K340" s="26">
        <f t="shared" si="48"/>
        <v>67.731737547265325</v>
      </c>
      <c r="M340" s="41">
        <f t="shared" si="54"/>
        <v>119.67533754308509</v>
      </c>
      <c r="N340" s="41">
        <f t="shared" si="49"/>
        <v>125.65910442023936</v>
      </c>
      <c r="O340" s="41">
        <f t="shared" si="50"/>
        <v>152.73942679220357</v>
      </c>
      <c r="P340" s="41">
        <f t="shared" si="51"/>
        <v>194.93851428170791</v>
      </c>
    </row>
    <row r="341" spans="3:16" x14ac:dyDescent="0.35">
      <c r="C341" s="12" t="s">
        <v>139</v>
      </c>
      <c r="D341" s="1">
        <v>31.164062000000001</v>
      </c>
      <c r="E341" s="1">
        <v>-25.347403</v>
      </c>
      <c r="F341" s="27">
        <f t="shared" si="52"/>
        <v>203.64785468269338</v>
      </c>
      <c r="H341" s="26">
        <v>21.646386368278506</v>
      </c>
      <c r="I341" s="26">
        <f t="shared" si="53"/>
        <v>22.728705686692432</v>
      </c>
      <c r="J341" s="26">
        <f t="shared" si="48"/>
        <v>27.626883816585195</v>
      </c>
      <c r="K341" s="26">
        <f t="shared" si="48"/>
        <v>35.259682444437317</v>
      </c>
      <c r="M341" s="41">
        <f t="shared" si="54"/>
        <v>62.270227123261158</v>
      </c>
      <c r="N341" s="41">
        <f t="shared" si="49"/>
        <v>65.38373847942421</v>
      </c>
      <c r="O341" s="41">
        <f t="shared" si="50"/>
        <v>79.47434277010565</v>
      </c>
      <c r="P341" s="41">
        <f t="shared" si="51"/>
        <v>101.43163836929102</v>
      </c>
    </row>
    <row r="342" spans="3:16" x14ac:dyDescent="0.35">
      <c r="C342" s="12" t="s">
        <v>140</v>
      </c>
      <c r="D342" s="1">
        <v>30.808244999999999</v>
      </c>
      <c r="E342" s="1">
        <v>-26.033345000000001</v>
      </c>
      <c r="F342" s="27">
        <f t="shared" si="52"/>
        <v>159.14453753636283</v>
      </c>
      <c r="H342" s="26">
        <v>17.391454440833993</v>
      </c>
      <c r="I342" s="26">
        <f t="shared" si="53"/>
        <v>18.261027162875692</v>
      </c>
      <c r="J342" s="26">
        <f t="shared" si="48"/>
        <v>22.196392647895173</v>
      </c>
      <c r="K342" s="26">
        <f t="shared" si="48"/>
        <v>28.328846690519164</v>
      </c>
      <c r="M342" s="41">
        <f t="shared" si="54"/>
        <v>39.096946891973111</v>
      </c>
      <c r="N342" s="41">
        <f t="shared" si="49"/>
        <v>41.051794236571766</v>
      </c>
      <c r="O342" s="41">
        <f t="shared" si="50"/>
        <v>49.898712468266964</v>
      </c>
      <c r="P342" s="41">
        <f t="shared" si="51"/>
        <v>63.684806715737992</v>
      </c>
    </row>
    <row r="343" spans="3:16" x14ac:dyDescent="0.35">
      <c r="C343" s="12" t="s">
        <v>141</v>
      </c>
      <c r="D343" s="1">
        <v>29.267294</v>
      </c>
      <c r="E343" s="1">
        <v>-25.849267000000001</v>
      </c>
      <c r="F343" s="27">
        <f t="shared" si="52"/>
        <v>6.297027112719638</v>
      </c>
      <c r="H343" s="26">
        <v>97.82050613905848</v>
      </c>
      <c r="I343" s="26">
        <f t="shared" si="53"/>
        <v>102.71153144601141</v>
      </c>
      <c r="J343" s="26">
        <f t="shared" si="48"/>
        <v>124.84650841969841</v>
      </c>
      <c r="K343" s="26">
        <f t="shared" si="48"/>
        <v>159.33929683856209</v>
      </c>
      <c r="M343" s="41">
        <f t="shared" si="54"/>
        <v>8.7012304951768495</v>
      </c>
      <c r="N343" s="41">
        <f t="shared" si="49"/>
        <v>9.1362920199356932</v>
      </c>
      <c r="O343" s="41">
        <f t="shared" si="50"/>
        <v>11.105220052056959</v>
      </c>
      <c r="P343" s="41">
        <f t="shared" si="51"/>
        <v>14.173387599945588</v>
      </c>
    </row>
    <row r="344" spans="3:16" x14ac:dyDescent="0.35">
      <c r="C344" s="12" t="s">
        <v>142</v>
      </c>
      <c r="D344" s="1">
        <v>31.816400000000002</v>
      </c>
      <c r="E344" s="1">
        <v>-25.744399999999999</v>
      </c>
      <c r="F344" s="27">
        <f t="shared" si="52"/>
        <v>259.9633316719603</v>
      </c>
      <c r="H344" s="26">
        <v>55.110403592899956</v>
      </c>
      <c r="I344" s="26">
        <f t="shared" si="53"/>
        <v>57.86592377254496</v>
      </c>
      <c r="J344" s="26">
        <f t="shared" si="48"/>
        <v>70.336392007551979</v>
      </c>
      <c r="K344" s="26">
        <f t="shared" si="48"/>
        <v>89.769040292010956</v>
      </c>
      <c r="M344" s="41">
        <f t="shared" si="54"/>
        <v>55.65364122753919</v>
      </c>
      <c r="N344" s="41">
        <f t="shared" si="49"/>
        <v>58.436323288916157</v>
      </c>
      <c r="O344" s="41">
        <f t="shared" si="50"/>
        <v>71.029716184698145</v>
      </c>
      <c r="P344" s="41">
        <f t="shared" si="51"/>
        <v>90.653917156138107</v>
      </c>
    </row>
    <row r="345" spans="3:16" x14ac:dyDescent="0.35">
      <c r="C345" s="12" t="s">
        <v>143</v>
      </c>
      <c r="D345" s="1">
        <v>29.083297000000002</v>
      </c>
      <c r="E345" s="1">
        <v>-26.533480000000001</v>
      </c>
      <c r="F345" s="27">
        <f t="shared" si="52"/>
        <v>72.852818691001971</v>
      </c>
      <c r="H345" s="26">
        <v>201.76432694031197</v>
      </c>
      <c r="I345" s="26">
        <f t="shared" si="53"/>
        <v>211.85254328732759</v>
      </c>
      <c r="J345" s="26">
        <f t="shared" si="48"/>
        <v>257.50809044414223</v>
      </c>
      <c r="K345" s="26">
        <f t="shared" si="48"/>
        <v>328.65282802844115</v>
      </c>
      <c r="M345" s="41">
        <f t="shared" si="54"/>
        <v>207.63757437474794</v>
      </c>
      <c r="N345" s="41">
        <f t="shared" si="49"/>
        <v>218.01945309348537</v>
      </c>
      <c r="O345" s="41">
        <f t="shared" si="50"/>
        <v>265.00400785671326</v>
      </c>
      <c r="P345" s="41">
        <f t="shared" si="51"/>
        <v>338.21972921612831</v>
      </c>
    </row>
    <row r="346" spans="3:16" x14ac:dyDescent="0.35">
      <c r="C346" s="12" t="s">
        <v>144</v>
      </c>
      <c r="D346" s="1">
        <v>30.250399999999999</v>
      </c>
      <c r="E346" s="1">
        <v>-25.671600000000002</v>
      </c>
      <c r="F346" s="27">
        <f t="shared" si="52"/>
        <v>105.58662122037821</v>
      </c>
      <c r="H346" s="26">
        <v>12.571677105785358</v>
      </c>
      <c r="I346" s="26">
        <f t="shared" si="53"/>
        <v>13.200260961074626</v>
      </c>
      <c r="J346" s="26">
        <f t="shared" si="48"/>
        <v>16.044999699817218</v>
      </c>
      <c r="K346" s="26">
        <f t="shared" si="48"/>
        <v>20.477937287194749</v>
      </c>
      <c r="M346" s="41">
        <f t="shared" si="54"/>
        <v>18.750692643295782</v>
      </c>
      <c r="N346" s="41">
        <f t="shared" si="49"/>
        <v>19.688227275460569</v>
      </c>
      <c r="O346" s="41">
        <f t="shared" si="50"/>
        <v>23.931163304742796</v>
      </c>
      <c r="P346" s="41">
        <f t="shared" si="51"/>
        <v>30.542902495019803</v>
      </c>
    </row>
    <row r="347" spans="3:16" x14ac:dyDescent="0.35">
      <c r="C347" s="12" t="s">
        <v>145</v>
      </c>
      <c r="D347" s="1">
        <v>31.143848999999999</v>
      </c>
      <c r="E347" s="1">
        <v>-25.039104999999999</v>
      </c>
      <c r="F347" s="27">
        <f t="shared" si="52"/>
        <v>214.70821106215377</v>
      </c>
      <c r="H347" s="26">
        <v>17.262293580879113</v>
      </c>
      <c r="I347" s="26">
        <f t="shared" si="53"/>
        <v>18.12540825992307</v>
      </c>
      <c r="J347" s="26">
        <f t="shared" si="48"/>
        <v>22.031547023738117</v>
      </c>
      <c r="K347" s="26">
        <f t="shared" si="48"/>
        <v>28.118457259748709</v>
      </c>
      <c r="M347" s="41">
        <f t="shared" si="54"/>
        <v>52.355505396509706</v>
      </c>
      <c r="N347" s="41">
        <f t="shared" si="49"/>
        <v>54.973280666335199</v>
      </c>
      <c r="O347" s="41">
        <f t="shared" si="50"/>
        <v>66.820366232934603</v>
      </c>
      <c r="P347" s="41">
        <f t="shared" si="51"/>
        <v>85.281601422592018</v>
      </c>
    </row>
    <row r="348" spans="3:16" x14ac:dyDescent="0.35">
      <c r="C348" s="12" t="s">
        <v>146</v>
      </c>
      <c r="D348" s="1">
        <v>31.1266</v>
      </c>
      <c r="E348" s="1">
        <v>-25.345400000000001</v>
      </c>
      <c r="F348" s="27">
        <f t="shared" si="52"/>
        <v>200.13291154710933</v>
      </c>
      <c r="H348" s="26">
        <v>18.90896386153323</v>
      </c>
      <c r="I348" s="26">
        <f t="shared" si="53"/>
        <v>19.854412054609892</v>
      </c>
      <c r="J348" s="26">
        <f t="shared" si="48"/>
        <v>24.133161942453668</v>
      </c>
      <c r="K348" s="26">
        <f t="shared" si="48"/>
        <v>30.8007096319803</v>
      </c>
      <c r="M348" s="41">
        <f t="shared" si="54"/>
        <v>53.456614395500587</v>
      </c>
      <c r="N348" s="41">
        <f t="shared" si="49"/>
        <v>56.129445115275615</v>
      </c>
      <c r="O348" s="41">
        <f t="shared" si="50"/>
        <v>68.225691346649498</v>
      </c>
      <c r="P348" s="41">
        <f t="shared" si="51"/>
        <v>87.075191954544536</v>
      </c>
    </row>
    <row r="349" spans="3:16" x14ac:dyDescent="0.35">
      <c r="C349" s="12" t="s">
        <v>147</v>
      </c>
      <c r="D349" s="1">
        <v>31.677612</v>
      </c>
      <c r="E349" s="1">
        <v>-25.664003000000001</v>
      </c>
      <c r="F349" s="27">
        <f t="shared" si="52"/>
        <v>246.9351513404462</v>
      </c>
      <c r="H349" s="26">
        <v>33.196478944117878</v>
      </c>
      <c r="I349" s="26">
        <f t="shared" si="53"/>
        <v>34.856302891323772</v>
      </c>
      <c r="J349" s="26">
        <f t="shared" si="48"/>
        <v>42.368054016297123</v>
      </c>
      <c r="K349" s="26">
        <f t="shared" si="48"/>
        <v>54.073566180004086</v>
      </c>
      <c r="M349" s="41">
        <f t="shared" si="54"/>
        <v>31.843649599458313</v>
      </c>
      <c r="N349" s="41">
        <f t="shared" si="49"/>
        <v>33.435832079431229</v>
      </c>
      <c r="O349" s="41">
        <f t="shared" si="50"/>
        <v>40.641462866499168</v>
      </c>
      <c r="P349" s="41">
        <f t="shared" si="51"/>
        <v>51.869949729541283</v>
      </c>
    </row>
    <row r="350" spans="3:16" x14ac:dyDescent="0.35">
      <c r="C350" s="12" t="s">
        <v>148</v>
      </c>
      <c r="D350" s="1">
        <v>31.179600000000001</v>
      </c>
      <c r="E350" s="1">
        <v>-25.464600000000001</v>
      </c>
      <c r="F350" s="27">
        <f t="shared" si="52"/>
        <v>201.59060780104906</v>
      </c>
      <c r="H350" s="26">
        <v>44.479735807438104</v>
      </c>
      <c r="I350" s="26">
        <f t="shared" si="53"/>
        <v>46.703722597810014</v>
      </c>
      <c r="J350" s="26">
        <f t="shared" si="48"/>
        <v>56.76866671590431</v>
      </c>
      <c r="K350" s="26">
        <f t="shared" si="48"/>
        <v>72.452802657216097</v>
      </c>
      <c r="M350" s="41">
        <f t="shared" si="54"/>
        <v>126.66239560984252</v>
      </c>
      <c r="N350" s="41">
        <f t="shared" si="49"/>
        <v>132.99551539033467</v>
      </c>
      <c r="O350" s="41">
        <f t="shared" si="50"/>
        <v>161.65688017892299</v>
      </c>
      <c r="P350" s="41">
        <f t="shared" si="51"/>
        <v>206.31969562363111</v>
      </c>
    </row>
    <row r="351" spans="3:16" x14ac:dyDescent="0.35">
      <c r="C351" s="12" t="s">
        <v>149</v>
      </c>
      <c r="D351" s="1">
        <v>28.713892999999999</v>
      </c>
      <c r="E351" s="1">
        <v>-25.431799999999999</v>
      </c>
      <c r="F351" s="27">
        <f t="shared" si="52"/>
        <v>72.24973412226224</v>
      </c>
      <c r="H351" s="26">
        <v>92.221350867317156</v>
      </c>
      <c r="I351" s="26">
        <f t="shared" si="53"/>
        <v>96.832418410683019</v>
      </c>
      <c r="J351" s="26">
        <f t="shared" si="48"/>
        <v>117.70040978080029</v>
      </c>
      <c r="K351" s="26">
        <f t="shared" si="48"/>
        <v>150.21886290193007</v>
      </c>
      <c r="M351" s="41">
        <f t="shared" si="54"/>
        <v>94.120220766999751</v>
      </c>
      <c r="N351" s="41">
        <f t="shared" si="49"/>
        <v>98.826231805349735</v>
      </c>
      <c r="O351" s="41">
        <f t="shared" si="50"/>
        <v>120.12390242335141</v>
      </c>
      <c r="P351" s="41">
        <f t="shared" si="51"/>
        <v>153.31192187847248</v>
      </c>
    </row>
    <row r="352" spans="3:16" x14ac:dyDescent="0.35">
      <c r="C352" s="12" t="s">
        <v>150</v>
      </c>
      <c r="D352" s="1">
        <v>28.864885999999998</v>
      </c>
      <c r="E352" s="1">
        <v>-25.154661000000001</v>
      </c>
      <c r="F352" s="27">
        <f t="shared" si="52"/>
        <v>89.430319517841056</v>
      </c>
      <c r="H352" s="26">
        <v>13.181770495541862</v>
      </c>
      <c r="I352" s="26">
        <f t="shared" si="53"/>
        <v>13.840859020318955</v>
      </c>
      <c r="J352" s="26">
        <f t="shared" si="53"/>
        <v>16.82365064456657</v>
      </c>
      <c r="K352" s="26">
        <f t="shared" si="53"/>
        <v>21.471715131601552</v>
      </c>
      <c r="M352" s="41">
        <f t="shared" si="54"/>
        <v>16.652281076944444</v>
      </c>
      <c r="N352" s="41">
        <f t="shared" si="49"/>
        <v>17.484895130791667</v>
      </c>
      <c r="O352" s="41">
        <f t="shared" si="50"/>
        <v>21.252999312071843</v>
      </c>
      <c r="P352" s="41">
        <f t="shared" si="51"/>
        <v>27.124811169822472</v>
      </c>
    </row>
    <row r="353" spans="3:16" x14ac:dyDescent="0.35">
      <c r="C353" s="12" t="s">
        <v>151</v>
      </c>
      <c r="D353" s="1">
        <v>28.995857000000001</v>
      </c>
      <c r="E353" s="1">
        <v>-25.28256</v>
      </c>
      <c r="F353" s="27">
        <f t="shared" si="52"/>
        <v>71.390273435157013</v>
      </c>
      <c r="H353" s="26">
        <v>18.521334321207558</v>
      </c>
      <c r="I353" s="26">
        <f t="shared" si="53"/>
        <v>19.447401037267937</v>
      </c>
      <c r="J353" s="26">
        <f t="shared" si="53"/>
        <v>23.638437507055663</v>
      </c>
      <c r="K353" s="26">
        <f t="shared" si="53"/>
        <v>30.169301956563604</v>
      </c>
      <c r="M353" s="41">
        <f t="shared" si="54"/>
        <v>18.677834413373329</v>
      </c>
      <c r="N353" s="41">
        <f t="shared" si="49"/>
        <v>19.611726134041994</v>
      </c>
      <c r="O353" s="41">
        <f t="shared" si="50"/>
        <v>23.838175689216385</v>
      </c>
      <c r="P353" s="41">
        <f t="shared" si="51"/>
        <v>30.424224115782604</v>
      </c>
    </row>
    <row r="354" spans="3:16" x14ac:dyDescent="0.35">
      <c r="C354" s="12" t="s">
        <v>152</v>
      </c>
      <c r="D354" s="1">
        <v>31.350878000000002</v>
      </c>
      <c r="E354" s="1">
        <v>-25.518408999999998</v>
      </c>
      <c r="F354" s="27">
        <f t="shared" si="52"/>
        <v>217.04429913093151</v>
      </c>
      <c r="H354" s="26">
        <v>29.419224611717425</v>
      </c>
      <c r="I354" s="26">
        <f t="shared" si="53"/>
        <v>30.890185842303296</v>
      </c>
      <c r="J354" s="26">
        <f t="shared" si="53"/>
        <v>37.547213954981174</v>
      </c>
      <c r="K354" s="26">
        <f t="shared" si="53"/>
        <v>47.920816893985176</v>
      </c>
      <c r="M354" s="41">
        <f t="shared" si="54"/>
        <v>90.197564231399539</v>
      </c>
      <c r="N354" s="41">
        <f t="shared" si="49"/>
        <v>94.707442442969523</v>
      </c>
      <c r="O354" s="41">
        <f t="shared" si="50"/>
        <v>115.11748821094473</v>
      </c>
      <c r="P354" s="41">
        <f t="shared" si="51"/>
        <v>146.92232772493986</v>
      </c>
    </row>
    <row r="355" spans="3:16" x14ac:dyDescent="0.35">
      <c r="C355" s="12" t="s">
        <v>153</v>
      </c>
      <c r="D355" s="1">
        <v>31.893315999999999</v>
      </c>
      <c r="E355" s="1">
        <v>-25.832609000000001</v>
      </c>
      <c r="F355" s="27">
        <f t="shared" si="52"/>
        <v>267.13137160962589</v>
      </c>
      <c r="H355" s="26">
        <v>21.376733719545705</v>
      </c>
      <c r="I355" s="26">
        <f t="shared" si="53"/>
        <v>22.445570405522989</v>
      </c>
      <c r="J355" s="26">
        <f t="shared" si="53"/>
        <v>27.282731112728232</v>
      </c>
      <c r="K355" s="26">
        <f t="shared" si="53"/>
        <v>34.820446693820152</v>
      </c>
      <c r="M355" s="41">
        <f t="shared" si="54"/>
        <v>22.182686411829788</v>
      </c>
      <c r="N355" s="41">
        <f t="shared" si="49"/>
        <v>23.291820732421279</v>
      </c>
      <c r="O355" s="41">
        <f t="shared" si="50"/>
        <v>28.311353674137642</v>
      </c>
      <c r="P355" s="41">
        <f t="shared" si="51"/>
        <v>36.133258703718511</v>
      </c>
    </row>
    <row r="356" spans="3:16" x14ac:dyDescent="0.35">
      <c r="C356" s="12" t="s">
        <v>154</v>
      </c>
      <c r="D356" s="1">
        <v>30.9694</v>
      </c>
      <c r="E356" s="1">
        <v>-25.475300000000001</v>
      </c>
      <c r="F356" s="27">
        <f t="shared" si="52"/>
        <v>180.86871206451761</v>
      </c>
      <c r="H356" s="26">
        <v>19.98393287424495</v>
      </c>
      <c r="I356" s="26">
        <f t="shared" si="53"/>
        <v>20.983129517957199</v>
      </c>
      <c r="J356" s="26">
        <f t="shared" si="53"/>
        <v>25.505125073636464</v>
      </c>
      <c r="K356" s="26">
        <f t="shared" si="53"/>
        <v>32.551720880738671</v>
      </c>
      <c r="M356" s="41">
        <f t="shared" si="54"/>
        <v>51.057507842661224</v>
      </c>
      <c r="N356" s="41">
        <f t="shared" si="49"/>
        <v>53.610383234794291</v>
      </c>
      <c r="O356" s="41">
        <f t="shared" si="50"/>
        <v>65.163755886787683</v>
      </c>
      <c r="P356" s="41">
        <f t="shared" si="51"/>
        <v>83.167300181557948</v>
      </c>
    </row>
    <row r="357" spans="3:16" x14ac:dyDescent="0.35">
      <c r="C357" s="12" t="s">
        <v>87</v>
      </c>
      <c r="D357" s="1">
        <v>29.464797000000001</v>
      </c>
      <c r="E357" s="1">
        <v>-25.75272</v>
      </c>
      <c r="F357" s="27">
        <f t="shared" si="52"/>
        <v>28.541049903574741</v>
      </c>
      <c r="H357" s="26">
        <v>72.628941539897937</v>
      </c>
      <c r="I357" s="26">
        <f t="shared" si="53"/>
        <v>76.26038861689284</v>
      </c>
      <c r="J357" s="26">
        <f t="shared" si="53"/>
        <v>92.694978991262104</v>
      </c>
      <c r="K357" s="26">
        <f t="shared" si="53"/>
        <v>118.30489262287267</v>
      </c>
      <c r="M357" s="41">
        <f t="shared" si="54"/>
        <v>29.281604090485235</v>
      </c>
      <c r="N357" s="41">
        <f t="shared" si="49"/>
        <v>30.7456842950095</v>
      </c>
      <c r="O357" s="41">
        <f t="shared" si="50"/>
        <v>37.371571421110893</v>
      </c>
      <c r="P357" s="41">
        <f t="shared" si="51"/>
        <v>47.696647566415756</v>
      </c>
    </row>
    <row r="358" spans="3:16" x14ac:dyDescent="0.35">
      <c r="C358" s="12" t="s">
        <v>155</v>
      </c>
      <c r="D358" s="1">
        <v>30.973758</v>
      </c>
      <c r="E358" s="1">
        <v>-25.492134</v>
      </c>
      <c r="F358" s="27">
        <f t="shared" si="52"/>
        <v>180.81123302822184</v>
      </c>
      <c r="H358" s="26">
        <v>15.093128010821905</v>
      </c>
      <c r="I358" s="26">
        <f t="shared" si="53"/>
        <v>15.847784411363001</v>
      </c>
      <c r="J358" s="26">
        <f t="shared" si="53"/>
        <v>19.2630810006643</v>
      </c>
      <c r="K358" s="26">
        <f t="shared" si="53"/>
        <v>24.585115118091895</v>
      </c>
      <c r="M358" s="41">
        <f t="shared" si="54"/>
        <v>38.549599261633745</v>
      </c>
      <c r="N358" s="41">
        <f t="shared" si="49"/>
        <v>40.477079224715432</v>
      </c>
      <c r="O358" s="41">
        <f t="shared" si="50"/>
        <v>49.200142779386766</v>
      </c>
      <c r="P358" s="41">
        <f t="shared" si="51"/>
        <v>62.793235101698826</v>
      </c>
    </row>
    <row r="359" spans="3:16" x14ac:dyDescent="0.35">
      <c r="C359" s="12" t="s">
        <v>156</v>
      </c>
      <c r="D359" s="1">
        <v>29.060500000000001</v>
      </c>
      <c r="E359" s="1">
        <v>-26.0474</v>
      </c>
      <c r="F359" s="27">
        <f t="shared" si="52"/>
        <v>23.917089560475208</v>
      </c>
      <c r="H359" s="26">
        <v>14.102552164934245</v>
      </c>
      <c r="I359" s="26">
        <f t="shared" si="53"/>
        <v>14.807679773180958</v>
      </c>
      <c r="J359" s="26">
        <f t="shared" si="53"/>
        <v>17.998827312300037</v>
      </c>
      <c r="K359" s="26">
        <f t="shared" si="53"/>
        <v>22.971571445309969</v>
      </c>
      <c r="M359" s="41">
        <f t="shared" si="54"/>
        <v>4.7645429809259214</v>
      </c>
      <c r="N359" s="41">
        <f t="shared" si="49"/>
        <v>5.0027701299722169</v>
      </c>
      <c r="O359" s="41">
        <f t="shared" si="50"/>
        <v>6.080898360294543</v>
      </c>
      <c r="P359" s="41">
        <f t="shared" si="51"/>
        <v>7.760938460680407</v>
      </c>
    </row>
    <row r="360" spans="3:16" x14ac:dyDescent="0.35">
      <c r="C360" s="12" t="s">
        <v>157</v>
      </c>
      <c r="D360" s="1">
        <v>29.037222</v>
      </c>
      <c r="E360" s="1">
        <v>-26.000229000000001</v>
      </c>
      <c r="F360" s="27">
        <f t="shared" si="52"/>
        <v>22.3256657192087</v>
      </c>
      <c r="H360" s="26">
        <v>67.925474528245246</v>
      </c>
      <c r="I360" s="26">
        <f t="shared" si="53"/>
        <v>71.321748254657507</v>
      </c>
      <c r="J360" s="26">
        <f t="shared" si="53"/>
        <v>86.6920307644628</v>
      </c>
      <c r="K360" s="26">
        <f t="shared" si="53"/>
        <v>110.64344048036665</v>
      </c>
      <c r="M360" s="41">
        <f t="shared" si="54"/>
        <v>21.421619617672437</v>
      </c>
      <c r="N360" s="41">
        <f t="shared" si="49"/>
        <v>22.492700598556059</v>
      </c>
      <c r="O360" s="41">
        <f t="shared" si="50"/>
        <v>27.34001815692363</v>
      </c>
      <c r="P360" s="41">
        <f t="shared" si="51"/>
        <v>34.89356109209686</v>
      </c>
    </row>
    <row r="361" spans="3:16" x14ac:dyDescent="0.35">
      <c r="C361" s="12" t="s">
        <v>158</v>
      </c>
      <c r="D361" s="1">
        <v>31.038425</v>
      </c>
      <c r="E361" s="1">
        <v>-24.766643999999999</v>
      </c>
      <c r="F361" s="27">
        <f t="shared" si="52"/>
        <v>221.04759578881425</v>
      </c>
      <c r="H361" s="26">
        <v>14.897093418303145</v>
      </c>
      <c r="I361" s="26">
        <f t="shared" si="53"/>
        <v>15.641948089218303</v>
      </c>
      <c r="J361" s="26">
        <f t="shared" si="53"/>
        <v>19.012885664620406</v>
      </c>
      <c r="K361" s="26">
        <f t="shared" si="53"/>
        <v>24.265795423675584</v>
      </c>
      <c r="M361" s="41">
        <f t="shared" si="54"/>
        <v>46.516019221880399</v>
      </c>
      <c r="N361" s="41">
        <f t="shared" si="49"/>
        <v>48.841820182974416</v>
      </c>
      <c r="O361" s="41">
        <f t="shared" si="50"/>
        <v>59.367537693781543</v>
      </c>
      <c r="P361" s="41">
        <f t="shared" si="51"/>
        <v>75.769693769597168</v>
      </c>
    </row>
    <row r="362" spans="3:16" x14ac:dyDescent="0.35">
      <c r="C362" s="12" t="s">
        <v>159</v>
      </c>
      <c r="D362" s="1">
        <v>29.094601999999998</v>
      </c>
      <c r="E362" s="1">
        <v>-25.122211</v>
      </c>
      <c r="F362" s="27">
        <f t="shared" si="52"/>
        <v>86.429834747744238</v>
      </c>
      <c r="H362" s="26">
        <v>91.44180365263297</v>
      </c>
      <c r="I362" s="26">
        <f t="shared" si="53"/>
        <v>96.013893835264625</v>
      </c>
      <c r="J362" s="26">
        <f t="shared" si="53"/>
        <v>116.70548804360062</v>
      </c>
      <c r="K362" s="26">
        <f t="shared" si="53"/>
        <v>148.94906263261169</v>
      </c>
      <c r="M362" s="41">
        <f t="shared" si="54"/>
        <v>111.64098788894162</v>
      </c>
      <c r="N362" s="41">
        <f t="shared" si="49"/>
        <v>117.22303728338871</v>
      </c>
      <c r="O362" s="41">
        <f t="shared" si="50"/>
        <v>142.48533446194199</v>
      </c>
      <c r="P362" s="41">
        <f t="shared" si="51"/>
        <v>181.85140530042244</v>
      </c>
    </row>
    <row r="363" spans="3:16" x14ac:dyDescent="0.35">
      <c r="C363" s="12" t="s">
        <v>160</v>
      </c>
      <c r="D363" s="1">
        <v>31.1281</v>
      </c>
      <c r="E363" s="1">
        <v>-25.450099999999999</v>
      </c>
      <c r="F363" s="27">
        <f t="shared" si="52"/>
        <v>196.98395438935657</v>
      </c>
      <c r="H363" s="26">
        <v>50.226639058599289</v>
      </c>
      <c r="I363" s="26">
        <f t="shared" si="53"/>
        <v>52.737971011529254</v>
      </c>
      <c r="J363" s="26">
        <f t="shared" si="53"/>
        <v>64.103333376832637</v>
      </c>
      <c r="K363" s="26">
        <f t="shared" si="53"/>
        <v>81.813902483642352</v>
      </c>
      <c r="M363" s="41">
        <f t="shared" si="54"/>
        <v>139.75912534661069</v>
      </c>
      <c r="N363" s="41">
        <f t="shared" si="49"/>
        <v>146.74708161394122</v>
      </c>
      <c r="O363" s="41">
        <f t="shared" si="50"/>
        <v>178.37199487100565</v>
      </c>
      <c r="P363" s="41">
        <f t="shared" si="51"/>
        <v>227.65288832020906</v>
      </c>
    </row>
    <row r="364" spans="3:16" x14ac:dyDescent="0.35">
      <c r="C364" s="12" t="s">
        <v>161</v>
      </c>
      <c r="D364" s="1">
        <v>31.196035999999999</v>
      </c>
      <c r="E364" s="1">
        <v>-24.725940999999999</v>
      </c>
      <c r="F364" s="27">
        <f t="shared" si="52"/>
        <v>236.75680349441319</v>
      </c>
      <c r="H364" s="26">
        <v>42.017941563271762</v>
      </c>
      <c r="I364" s="26">
        <f t="shared" si="53"/>
        <v>44.118838641435353</v>
      </c>
      <c r="J364" s="26">
        <f t="shared" si="53"/>
        <v>53.626724111406183</v>
      </c>
      <c r="K364" s="26">
        <f t="shared" si="53"/>
        <v>68.442799240661913</v>
      </c>
      <c r="M364" s="41">
        <f t="shared" si="54"/>
        <v>140.52462822737664</v>
      </c>
      <c r="N364" s="41">
        <f t="shared" si="49"/>
        <v>147.55085963874549</v>
      </c>
      <c r="O364" s="41">
        <f t="shared" si="50"/>
        <v>179.34899208376788</v>
      </c>
      <c r="P364" s="41">
        <f t="shared" si="51"/>
        <v>228.89981184947143</v>
      </c>
    </row>
    <row r="365" spans="3:16" x14ac:dyDescent="0.35">
      <c r="C365" s="12" t="s">
        <v>162</v>
      </c>
      <c r="D365" s="1">
        <v>31.814920999999998</v>
      </c>
      <c r="E365" s="1">
        <v>-25.669193</v>
      </c>
      <c r="F365" s="27">
        <f t="shared" si="52"/>
        <v>260.5544583900566</v>
      </c>
      <c r="H365" s="26">
        <v>26.445513577148436</v>
      </c>
      <c r="I365" s="26">
        <f t="shared" si="53"/>
        <v>27.767789256005859</v>
      </c>
      <c r="J365" s="26">
        <f t="shared" si="53"/>
        <v>33.751921389357975</v>
      </c>
      <c r="K365" s="26">
        <f t="shared" si="53"/>
        <v>43.076954968186968</v>
      </c>
      <c r="M365" s="41">
        <f t="shared" si="54"/>
        <v>26.766920721503102</v>
      </c>
      <c r="N365" s="41">
        <f t="shared" si="49"/>
        <v>28.105266757578256</v>
      </c>
      <c r="O365" s="41">
        <f t="shared" si="50"/>
        <v>34.162127401753615</v>
      </c>
      <c r="P365" s="41">
        <f t="shared" si="51"/>
        <v>43.600493338634166</v>
      </c>
    </row>
    <row r="366" spans="3:16" x14ac:dyDescent="0.35">
      <c r="C366" s="12" t="s">
        <v>163</v>
      </c>
      <c r="D366" s="1">
        <v>28.833500000000001</v>
      </c>
      <c r="E366" s="1">
        <v>-25.346900000000002</v>
      </c>
      <c r="F366" s="27">
        <f t="shared" si="52"/>
        <v>72.046527199601044</v>
      </c>
      <c r="H366" s="26">
        <v>21.194979346018815</v>
      </c>
      <c r="I366" s="26">
        <f t="shared" si="53"/>
        <v>22.254728313319756</v>
      </c>
      <c r="J366" s="26">
        <f t="shared" si="53"/>
        <v>27.050761356892124</v>
      </c>
      <c r="K366" s="26">
        <f t="shared" si="53"/>
        <v>34.524387971388904</v>
      </c>
      <c r="M366" s="41">
        <f t="shared" si="54"/>
        <v>21.570551741619859</v>
      </c>
      <c r="N366" s="41">
        <f t="shared" si="49"/>
        <v>22.64907932870085</v>
      </c>
      <c r="O366" s="41">
        <f t="shared" si="50"/>
        <v>27.530097480781691</v>
      </c>
      <c r="P366" s="41">
        <f t="shared" si="51"/>
        <v>35.136155828549377</v>
      </c>
    </row>
    <row r="367" spans="3:16" x14ac:dyDescent="0.35">
      <c r="C367" s="12" t="s">
        <v>164</v>
      </c>
      <c r="D367" s="1">
        <v>31.001169999999998</v>
      </c>
      <c r="E367" s="1">
        <v>-25.339615999999999</v>
      </c>
      <c r="F367" s="27">
        <f t="shared" si="52"/>
        <v>188.39887673167073</v>
      </c>
      <c r="H367" s="26">
        <v>7.6942938324232939</v>
      </c>
      <c r="I367" s="26">
        <f t="shared" si="53"/>
        <v>8.0790085240444593</v>
      </c>
      <c r="J367" s="26">
        <f t="shared" si="53"/>
        <v>9.8200853547793159</v>
      </c>
      <c r="K367" s="26">
        <f t="shared" si="53"/>
        <v>12.533193880481113</v>
      </c>
      <c r="M367" s="41">
        <f t="shared" si="54"/>
        <v>20.476809068695104</v>
      </c>
      <c r="N367" s="41">
        <f t="shared" si="49"/>
        <v>21.500649522129862</v>
      </c>
      <c r="O367" s="41">
        <f t="shared" si="50"/>
        <v>26.134173873208358</v>
      </c>
      <c r="P367" s="41">
        <f t="shared" si="51"/>
        <v>33.354564265545044</v>
      </c>
    </row>
    <row r="369" spans="3:16" ht="16" customHeight="1" x14ac:dyDescent="0.35">
      <c r="C369" s="22" t="s">
        <v>165</v>
      </c>
      <c r="L369" s="77" t="s">
        <v>174</v>
      </c>
      <c r="M369" s="77"/>
      <c r="N369" s="77"/>
      <c r="O369" s="77"/>
      <c r="P369" s="77"/>
    </row>
    <row r="370" spans="3:16" x14ac:dyDescent="0.35">
      <c r="C370" s="4"/>
      <c r="D370" s="33" t="s">
        <v>1</v>
      </c>
      <c r="E370" s="33">
        <v>1</v>
      </c>
      <c r="F370" s="33">
        <v>5</v>
      </c>
      <c r="G370" s="33">
        <v>10</v>
      </c>
      <c r="L370" s="20"/>
      <c r="M370" s="19" t="s">
        <v>1</v>
      </c>
      <c r="N370" s="19">
        <v>1</v>
      </c>
      <c r="O370" s="19">
        <v>5</v>
      </c>
      <c r="P370" s="19">
        <v>10</v>
      </c>
    </row>
    <row r="371" spans="3:16" x14ac:dyDescent="0.35">
      <c r="C371" s="44" t="s">
        <v>2</v>
      </c>
      <c r="D371" s="17">
        <f>H235</f>
        <v>0</v>
      </c>
      <c r="E371" s="17">
        <f>I235</f>
        <v>8493961.8052892573</v>
      </c>
      <c r="F371" s="17">
        <f t="shared" ref="F371:G371" si="55">J235</f>
        <v>2638736.64</v>
      </c>
      <c r="G371" s="17">
        <f t="shared" si="55"/>
        <v>2638736.64</v>
      </c>
      <c r="L371" s="20" t="s">
        <v>18</v>
      </c>
      <c r="M371" s="59">
        <f>SUM(M268:M290)</f>
        <v>2094.6708088855949</v>
      </c>
      <c r="N371" s="59">
        <f t="shared" ref="N371:P371" si="56">SUM(N268:N290)</f>
        <v>2199.4043493298741</v>
      </c>
      <c r="O371" s="59">
        <f t="shared" si="56"/>
        <v>2673.3897328876456</v>
      </c>
      <c r="P371" s="59">
        <f t="shared" si="56"/>
        <v>3411.9980254613019</v>
      </c>
    </row>
    <row r="372" spans="3:16" x14ac:dyDescent="0.35">
      <c r="C372" s="44" t="s">
        <v>3</v>
      </c>
      <c r="D372" s="45">
        <f>H258*26</f>
        <v>212167.56513864253</v>
      </c>
      <c r="E372" s="45">
        <f t="shared" ref="E372:G372" si="57">I258*26</f>
        <v>222775.94339557469</v>
      </c>
      <c r="F372" s="45">
        <f t="shared" si="57"/>
        <v>270785.55154696724</v>
      </c>
      <c r="G372" s="45">
        <f t="shared" si="57"/>
        <v>345598.60683078773</v>
      </c>
      <c r="L372" s="53" t="s">
        <v>21</v>
      </c>
      <c r="M372" s="59">
        <f>SUM(M296:M330)</f>
        <v>1046.2818047963492</v>
      </c>
      <c r="N372" s="59">
        <f t="shared" ref="N372:P372" si="58">SUM(N296:N330)</f>
        <v>1098.5958950361667</v>
      </c>
      <c r="O372" s="59">
        <f t="shared" si="58"/>
        <v>1335.3501766408044</v>
      </c>
      <c r="P372" s="59">
        <f t="shared" si="58"/>
        <v>1704.2828099277776</v>
      </c>
    </row>
    <row r="373" spans="3:16" x14ac:dyDescent="0.35">
      <c r="C373" s="46" t="s">
        <v>4</v>
      </c>
      <c r="D373" s="47">
        <f>M374*26</f>
        <v>130535.85030523084</v>
      </c>
      <c r="E373" s="47">
        <f t="shared" ref="E373:G373" si="59">N374*26</f>
        <v>137062.64282049239</v>
      </c>
      <c r="F373" s="47">
        <f t="shared" si="59"/>
        <v>166600.4989898261</v>
      </c>
      <c r="G373" s="47">
        <f t="shared" si="59"/>
        <v>212629.14516401498</v>
      </c>
      <c r="L373" s="54" t="s">
        <v>171</v>
      </c>
      <c r="M373" s="60">
        <f>SUM(M336:M367)</f>
        <v>1879.6570134423193</v>
      </c>
      <c r="N373" s="60">
        <f t="shared" ref="N373:P373" si="60">SUM(N336:N367)</f>
        <v>1973.6398641144358</v>
      </c>
      <c r="O373" s="60">
        <f t="shared" si="60"/>
        <v>2398.9715900802457</v>
      </c>
      <c r="P373" s="60">
        <f t="shared" si="60"/>
        <v>3061.7632093807269</v>
      </c>
    </row>
    <row r="374" spans="3:16" x14ac:dyDescent="0.35">
      <c r="C374" s="48" t="s">
        <v>166</v>
      </c>
      <c r="D374" s="23">
        <f>SUM(D371:D373)</f>
        <v>342703.41544387338</v>
      </c>
      <c r="E374" s="23">
        <f t="shared" ref="E374:G374" si="61">SUM(E371:E373)</f>
        <v>8853800.3915053252</v>
      </c>
      <c r="F374" s="23">
        <f t="shared" si="61"/>
        <v>3076122.6905367933</v>
      </c>
      <c r="G374" s="23">
        <f t="shared" si="61"/>
        <v>3196964.3919948027</v>
      </c>
      <c r="L374" s="53" t="s">
        <v>166</v>
      </c>
      <c r="M374" s="59">
        <f>SUM(M371:M373)</f>
        <v>5020.6096271242632</v>
      </c>
      <c r="N374" s="23">
        <f t="shared" ref="N374" si="62">SUM(N371:N373)</f>
        <v>5271.6401084804766</v>
      </c>
      <c r="O374" s="23">
        <f t="shared" ref="O374" si="63">SUM(O371:O373)</f>
        <v>6407.7114996086957</v>
      </c>
      <c r="P374" s="23">
        <f t="shared" ref="P374" si="64">SUM(P371:P373)</f>
        <v>8178.0440447698065</v>
      </c>
    </row>
    <row r="376" spans="3:16" x14ac:dyDescent="0.35">
      <c r="E376" s="17">
        <f>E374+F374*4+G374*5</f>
        <v>37143113.11362651</v>
      </c>
      <c r="F376" t="s">
        <v>167</v>
      </c>
      <c r="N376" s="45">
        <f>N371*26</f>
        <v>57184.513082576726</v>
      </c>
    </row>
    <row r="377" spans="3:16" x14ac:dyDescent="0.35">
      <c r="N377" s="45">
        <f t="shared" ref="N377:N378" si="65">N372*26</f>
        <v>28563.493270940333</v>
      </c>
    </row>
    <row r="378" spans="3:16" x14ac:dyDescent="0.35">
      <c r="N378" s="45">
        <f t="shared" si="65"/>
        <v>51314.636466975331</v>
      </c>
    </row>
  </sheetData>
  <mergeCells count="18">
    <mergeCell ref="L369:P369"/>
    <mergeCell ref="H266:K266"/>
    <mergeCell ref="H294:K294"/>
    <mergeCell ref="H334:K334"/>
    <mergeCell ref="M266:P266"/>
    <mergeCell ref="M294:P294"/>
    <mergeCell ref="M334:P334"/>
    <mergeCell ref="L179:L180"/>
    <mergeCell ref="G230:K230"/>
    <mergeCell ref="G253:K253"/>
    <mergeCell ref="H76:K76"/>
    <mergeCell ref="H104:K104"/>
    <mergeCell ref="H144:K144"/>
    <mergeCell ref="M76:P76"/>
    <mergeCell ref="M104:P104"/>
    <mergeCell ref="M144:P144"/>
    <mergeCell ref="G55:G56"/>
    <mergeCell ref="G69:G70"/>
  </mergeCells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Calculations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Sarah LaBorde</dc:creator>
  <cp:keywords/>
  <dc:description/>
  <cp:lastModifiedBy>JILLIAN MARIE WEDIN</cp:lastModifiedBy>
  <cp:revision/>
  <dcterms:created xsi:type="dcterms:W3CDTF">2023-04-01T18:35:55Z</dcterms:created>
  <dcterms:modified xsi:type="dcterms:W3CDTF">2023-09-21T16:24:09Z</dcterms:modified>
  <cp:category/>
  <cp:contentStatus/>
</cp:coreProperties>
</file>