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310" windowWidth="15060" windowHeight="7060" activeTab="3"/>
  </bookViews>
  <sheets>
    <sheet name="2017-10-05" sheetId="1" r:id="rId1"/>
    <sheet name="2017-10-07" sheetId="2" r:id="rId2"/>
    <sheet name="Sheet3" sheetId="3" r:id="rId3"/>
    <sheet name="Sheet1" sheetId="4" r:id="rId4"/>
  </sheets>
  <calcPr calcId="125725"/>
</workbook>
</file>

<file path=xl/calcChain.xml><?xml version="1.0" encoding="utf-8"?>
<calcChain xmlns="http://schemas.openxmlformats.org/spreadsheetml/2006/main">
  <c r="B27" i="4"/>
  <c r="D24"/>
  <c r="C17"/>
  <c r="C16"/>
  <c r="F9"/>
  <c r="B12"/>
  <c r="B11"/>
  <c r="B6"/>
  <c r="E6" s="1"/>
  <c r="F6" s="1"/>
  <c r="E8"/>
  <c r="F8" s="1"/>
  <c r="E7"/>
  <c r="F7" s="1"/>
  <c r="D6"/>
  <c r="D8"/>
  <c r="D7"/>
  <c r="D17" i="3"/>
  <c r="D16"/>
  <c r="D15"/>
  <c r="D14"/>
  <c r="C15"/>
  <c r="C16" s="1"/>
  <c r="C17" s="1"/>
  <c r="C14"/>
  <c r="B14"/>
  <c r="B15" s="1"/>
  <c r="B16" s="1"/>
  <c r="B17" s="1"/>
  <c r="G5"/>
  <c r="N73"/>
  <c r="N72"/>
  <c r="N71"/>
  <c r="N70"/>
  <c r="B81"/>
  <c r="B80"/>
  <c r="B79"/>
  <c r="B78"/>
  <c r="B77"/>
  <c r="S56"/>
  <c r="S57" s="1"/>
  <c r="S58" s="1"/>
  <c r="S59" s="1"/>
  <c r="R56"/>
  <c r="R57" s="1"/>
  <c r="R58" s="1"/>
  <c r="R59" s="1"/>
  <c r="Q56"/>
  <c r="Q57" s="1"/>
  <c r="Q58" s="1"/>
  <c r="Q59" s="1"/>
  <c r="P59"/>
  <c r="O59"/>
  <c r="N59"/>
  <c r="L59"/>
  <c r="K59"/>
  <c r="J59"/>
  <c r="I59"/>
  <c r="H59"/>
  <c r="G59"/>
  <c r="F59"/>
  <c r="E59"/>
  <c r="D59"/>
  <c r="C59"/>
  <c r="B59"/>
  <c r="F34"/>
  <c r="F33"/>
  <c r="P56"/>
  <c r="P57" s="1"/>
  <c r="P58" s="1"/>
  <c r="O56"/>
  <c r="O57" s="1"/>
  <c r="O58" s="1"/>
  <c r="N56"/>
  <c r="N57" s="1"/>
  <c r="N58" s="1"/>
  <c r="L56"/>
  <c r="L57" s="1"/>
  <c r="L58" s="1"/>
  <c r="K56"/>
  <c r="K57" s="1"/>
  <c r="K58" s="1"/>
  <c r="J56"/>
  <c r="J57" s="1"/>
  <c r="J58" s="1"/>
  <c r="I56"/>
  <c r="I57" s="1"/>
  <c r="I58" s="1"/>
  <c r="H56"/>
  <c r="H57" s="1"/>
  <c r="H58" s="1"/>
  <c r="G56"/>
  <c r="G57" s="1"/>
  <c r="G58" s="1"/>
  <c r="F57"/>
  <c r="F58" s="1"/>
  <c r="F56"/>
  <c r="D57"/>
  <c r="D58" s="1"/>
  <c r="E56"/>
  <c r="E57" s="1"/>
  <c r="E58" s="1"/>
  <c r="D56"/>
  <c r="C56"/>
  <c r="C57" s="1"/>
  <c r="C58" s="1"/>
  <c r="F32"/>
  <c r="G30"/>
  <c r="B57"/>
  <c r="B58" s="1"/>
  <c r="B56"/>
  <c r="G31"/>
  <c r="D19" i="2"/>
  <c r="D18"/>
  <c r="C19"/>
  <c r="B19"/>
  <c r="C18"/>
  <c r="D7" i="1"/>
  <c r="D3"/>
  <c r="C7"/>
  <c r="B7"/>
  <c r="AA5" i="2"/>
  <c r="B18"/>
</calcChain>
</file>

<file path=xl/sharedStrings.xml><?xml version="1.0" encoding="utf-8"?>
<sst xmlns="http://schemas.openxmlformats.org/spreadsheetml/2006/main" count="140" uniqueCount="103">
  <si>
    <t>Nominal</t>
  </si>
  <si>
    <t>Old</t>
  </si>
  <si>
    <t>New</t>
  </si>
  <si>
    <t>Tests on the nozzle mounting</t>
  </si>
  <si>
    <t>Using threaded rod installed 2017-10-05</t>
  </si>
  <si>
    <t>x</t>
  </si>
  <si>
    <t>Outlier (blobs)</t>
  </si>
  <si>
    <t>y</t>
  </si>
  <si>
    <t>Because first layer is squashed and shows a gradient of squashiness across the y axis will use sharp part of verniers and avoid bottom layer</t>
  </si>
  <si>
    <t>Old z</t>
  </si>
  <si>
    <t>steps per unit</t>
  </si>
  <si>
    <t>Slope</t>
  </si>
  <si>
    <t>New z</t>
  </si>
  <si>
    <t>SLOPE</t>
  </si>
  <si>
    <t>z (4000)</t>
  </si>
  <si>
    <t>z (4046.41)</t>
  </si>
  <si>
    <t>Intercept</t>
  </si>
  <si>
    <t>Microsteps</t>
  </si>
  <si>
    <t>Proper Z</t>
  </si>
  <si>
    <t>Z -0.2mm (i.e. squashed)</t>
  </si>
  <si>
    <t>Ridges as high as 0.45 (center of square)</t>
  </si>
  <si>
    <t>Z-0.2mm point</t>
  </si>
  <si>
    <t>Z-0.2mm line (diag)</t>
  </si>
  <si>
    <t>z 2017-10-11 after fixing x carriage</t>
  </si>
  <si>
    <t>Extruder calculation</t>
  </si>
  <si>
    <t>e_steps_per_mm = (motor_steps_per_rev * driver_microstep) * (big_gear_teeth / small_gear_teeth) / (hob_effective_diameter * pi)</t>
  </si>
  <si>
    <t>From Triffid Hunter's Calibration Guide</t>
  </si>
  <si>
    <t>Motor steps per rev</t>
  </si>
  <si>
    <t>Driver microstep</t>
  </si>
  <si>
    <t>Big gear teeth</t>
  </si>
  <si>
    <t>Small gear teeth</t>
  </si>
  <si>
    <t>Hob Diameter</t>
  </si>
  <si>
    <t>The values for the X and Y axis are calculated using the following formula:</t>
  </si>
  <si>
    <t>DEFAULT_AXIS_STEPS_PER_UNIT = (Steps per rotation * Microsteps per step) / ( Pulley teeth * Belt</t>
  </si>
  <si>
    <t>pitch). The stepper motors supplied with the kit are 1.8 degree/step motors, which is 200 steps per</t>
  </si>
  <si>
    <t>revolution, and 1/16th microsteps. The pulleys are 14 teeth and the belt pitch is 2.5mm. Thus this figure</t>
  </si>
  <si>
    <t>(200*16)/(14*2.5)=91.4286. If you wish to use 16 teeth pulleys, for example, the figure becomes</t>
  </si>
  <si>
    <t>(200*16)/(16*2.5)=80.</t>
  </si>
  <si>
    <t>Steps per mm</t>
  </si>
  <si>
    <t>Observed</t>
  </si>
  <si>
    <t>With 9 teeth (visible in old instructions)</t>
  </si>
  <si>
    <t>In firmware</t>
  </si>
  <si>
    <t>Extrusion test</t>
  </si>
  <si>
    <t>Requested extrusion</t>
  </si>
  <si>
    <t>Start postiion</t>
  </si>
  <si>
    <t>End</t>
  </si>
  <si>
    <t>Actual extrusion</t>
  </si>
  <si>
    <t>Scaling factor</t>
  </si>
  <si>
    <t>New steps per mm</t>
  </si>
  <si>
    <t>Implied diameter</t>
  </si>
  <si>
    <t>Measured diameter of hobbed bolt as 5.35mm</t>
  </si>
  <si>
    <t>Conditions</t>
  </si>
  <si>
    <t>Extruding</t>
  </si>
  <si>
    <t>Not at extruder, after loosening and retightening bolts</t>
  </si>
  <si>
    <t>There is no change in extruded length - some max value reached due to speed?</t>
  </si>
  <si>
    <t>Speed</t>
  </si>
  <si>
    <t>?</t>
  </si>
  <si>
    <t>Tighten bolts to height of 12.6/12.3</t>
  </si>
  <si>
    <t>Slipping observed</t>
  </si>
  <si>
    <t>Loosened to 14.49/15 (finger tight)</t>
  </si>
  <si>
    <t>+tight feed</t>
  </si>
  <si>
    <t>+loose feed</t>
  </si>
  <si>
    <t>y1</t>
  </si>
  <si>
    <t>y2</t>
  </si>
  <si>
    <t>G1 X139.957 Y2.500 E7.10147</t>
  </si>
  <si>
    <t>G1 X139.957 Y137.500 E12.23232</t>
  </si>
  <si>
    <t>e1</t>
  </si>
  <si>
    <t>e2</t>
  </si>
  <si>
    <t>Feed assumed at</t>
  </si>
  <si>
    <t>y travel</t>
  </si>
  <si>
    <t>Time (minutes)</t>
  </si>
  <si>
    <t>Time (seconds)</t>
  </si>
  <si>
    <t>e travel</t>
  </si>
  <si>
    <t>e feed</t>
  </si>
  <si>
    <t>No gaps</t>
  </si>
  <si>
    <t>No gaps visible</t>
  </si>
  <si>
    <t>Can see gaps</t>
  </si>
  <si>
    <t>BELOW IS ALL FOR OLD EXTRUDER DESIGN USED PRE 2017-11-09</t>
  </si>
  <si>
    <t>On RepRapPro site</t>
  </si>
  <si>
    <t>Length</t>
  </si>
  <si>
    <t>Weight</t>
  </si>
  <si>
    <t>Weight (g)</t>
  </si>
  <si>
    <t>Length (mm)</t>
  </si>
  <si>
    <t>Diam</t>
  </si>
  <si>
    <t>mm</t>
  </si>
  <si>
    <t>Density</t>
  </si>
  <si>
    <t>Est volume mm3</t>
  </si>
  <si>
    <t>Est volume cm3</t>
  </si>
  <si>
    <t>Filament length for cube according to cura</t>
  </si>
  <si>
    <t>m</t>
  </si>
  <si>
    <t>g</t>
  </si>
  <si>
    <t>Estimate</t>
  </si>
  <si>
    <t>Volume</t>
  </si>
  <si>
    <t>cm3</t>
  </si>
  <si>
    <t>cm</t>
  </si>
  <si>
    <t>g/cm3</t>
  </si>
  <si>
    <t>Cube 1</t>
  </si>
  <si>
    <t>Cube 2</t>
  </si>
  <si>
    <t>Cube 3</t>
  </si>
  <si>
    <t>Cube 4</t>
  </si>
  <si>
    <t>Extrusion</t>
  </si>
  <si>
    <t>steps/mm</t>
  </si>
  <si>
    <t>required esteps</t>
  </si>
</sst>
</file>

<file path=xl/styles.xml><?xml version="1.0" encoding="utf-8"?>
<styleSheet xmlns="http://schemas.openxmlformats.org/spreadsheetml/2006/main">
  <numFmts count="3">
    <numFmt numFmtId="164" formatCode="0.0%"/>
    <numFmt numFmtId="166" formatCode="#,##0.0000"/>
    <numFmt numFmtId="167" formatCode="#,##0.00000"/>
  </numFmts>
  <fonts count="3">
    <font>
      <sz val="11"/>
      <color theme="1"/>
      <name val="Calibri"/>
      <family val="2"/>
      <scheme val="minor"/>
    </font>
    <font>
      <sz val="6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Dashed">
        <color rgb="FF2F6FAB"/>
      </left>
      <right style="mediumDashed">
        <color rgb="FF2F6FAB"/>
      </right>
      <top style="mediumDashed">
        <color rgb="FF2F6FAB"/>
      </top>
      <bottom style="mediumDashed">
        <color rgb="FF2F6FAB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left" indent="1"/>
    </xf>
    <xf numFmtId="0" fontId="0" fillId="0" borderId="0" xfId="0" applyAlignment="1">
      <alignment horizontal="center" vertical="center" wrapText="1"/>
    </xf>
    <xf numFmtId="4" fontId="0" fillId="0" borderId="0" xfId="0" applyNumberFormat="1"/>
    <xf numFmtId="0" fontId="0" fillId="2" borderId="0" xfId="0" applyFill="1"/>
    <xf numFmtId="0" fontId="0" fillId="0" borderId="0" xfId="0" quotePrefix="1"/>
    <xf numFmtId="0" fontId="2" fillId="0" borderId="0" xfId="0" applyFon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'2017-10-05'!$B$2</c:f>
              <c:strCache>
                <c:ptCount val="1"/>
                <c:pt idx="0">
                  <c:v>Old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'2017-10-05'!$A$3:$A$5</c:f>
              <c:numCache>
                <c:formatCode>General</c:formatCode>
                <c:ptCount val="3"/>
                <c:pt idx="0">
                  <c:v>53.125</c:v>
                </c:pt>
                <c:pt idx="1">
                  <c:v>33.5</c:v>
                </c:pt>
                <c:pt idx="2">
                  <c:v>25</c:v>
                </c:pt>
              </c:numCache>
            </c:numRef>
          </c:xVal>
          <c:yVal>
            <c:numRef>
              <c:f>'2017-10-05'!$B$3:$B$5</c:f>
              <c:numCache>
                <c:formatCode>General</c:formatCode>
                <c:ptCount val="3"/>
                <c:pt idx="0">
                  <c:v>54.1</c:v>
                </c:pt>
                <c:pt idx="1">
                  <c:v>34.4</c:v>
                </c:pt>
                <c:pt idx="2">
                  <c:v>25.5</c:v>
                </c:pt>
              </c:numCache>
            </c:numRef>
          </c:yVal>
        </c:ser>
        <c:ser>
          <c:idx val="1"/>
          <c:order val="1"/>
          <c:tx>
            <c:strRef>
              <c:f>'2017-10-05'!$C$2</c:f>
              <c:strCache>
                <c:ptCount val="1"/>
                <c:pt idx="0">
                  <c:v>New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1951224846894161"/>
                  <c:y val="0.26999489647127445"/>
                </c:manualLayout>
              </c:layout>
              <c:numFmt formatCode="General" sourceLinked="0"/>
            </c:trendlineLbl>
          </c:trendline>
          <c:xVal>
            <c:numRef>
              <c:f>'2017-10-05'!$A$3:$A$5</c:f>
              <c:numCache>
                <c:formatCode>General</c:formatCode>
                <c:ptCount val="3"/>
                <c:pt idx="0">
                  <c:v>53.125</c:v>
                </c:pt>
                <c:pt idx="1">
                  <c:v>33.5</c:v>
                </c:pt>
                <c:pt idx="2">
                  <c:v>25</c:v>
                </c:pt>
              </c:numCache>
            </c:numRef>
          </c:xVal>
          <c:yVal>
            <c:numRef>
              <c:f>'2017-10-05'!$C$3:$C$5</c:f>
              <c:numCache>
                <c:formatCode>General</c:formatCode>
                <c:ptCount val="3"/>
                <c:pt idx="0">
                  <c:v>52.2</c:v>
                </c:pt>
                <c:pt idx="1">
                  <c:v>32.9</c:v>
                </c:pt>
                <c:pt idx="2">
                  <c:v>24.3</c:v>
                </c:pt>
              </c:numCache>
            </c:numRef>
          </c:yVal>
        </c:ser>
        <c:axId val="86848256"/>
        <c:axId val="86849792"/>
      </c:scatterChart>
      <c:valAx>
        <c:axId val="86848256"/>
        <c:scaling>
          <c:orientation val="minMax"/>
        </c:scaling>
        <c:axPos val="b"/>
        <c:numFmt formatCode="General" sourceLinked="1"/>
        <c:tickLblPos val="nextTo"/>
        <c:crossAx val="86849792"/>
        <c:crosses val="autoZero"/>
        <c:crossBetween val="midCat"/>
      </c:valAx>
      <c:valAx>
        <c:axId val="86849792"/>
        <c:scaling>
          <c:orientation val="minMax"/>
        </c:scaling>
        <c:axPos val="l"/>
        <c:majorGridlines/>
        <c:numFmt formatCode="General" sourceLinked="1"/>
        <c:tickLblPos val="nextTo"/>
        <c:crossAx val="8684825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strRef>
              <c:f>'2017-10-07'!$B$4</c:f>
              <c:strCache>
                <c:ptCount val="1"/>
                <c:pt idx="0">
                  <c:v>z (4000)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'2017-10-07'!$A$5:$A$16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'2017-10-07'!$B$5:$B$16</c:f>
              <c:numCache>
                <c:formatCode>General</c:formatCode>
                <c:ptCount val="12"/>
                <c:pt idx="0">
                  <c:v>4.5</c:v>
                </c:pt>
                <c:pt idx="1">
                  <c:v>9.4</c:v>
                </c:pt>
                <c:pt idx="2">
                  <c:v>14.3</c:v>
                </c:pt>
                <c:pt idx="3">
                  <c:v>19.2</c:v>
                </c:pt>
                <c:pt idx="4">
                  <c:v>24.15</c:v>
                </c:pt>
                <c:pt idx="5">
                  <c:v>29.1</c:v>
                </c:pt>
                <c:pt idx="6">
                  <c:v>34.15</c:v>
                </c:pt>
                <c:pt idx="7">
                  <c:v>39</c:v>
                </c:pt>
                <c:pt idx="8">
                  <c:v>44</c:v>
                </c:pt>
                <c:pt idx="9">
                  <c:v>48.9</c:v>
                </c:pt>
                <c:pt idx="10">
                  <c:v>53.9</c:v>
                </c:pt>
                <c:pt idx="11">
                  <c:v>58.8</c:v>
                </c:pt>
              </c:numCache>
            </c:numRef>
          </c:yVal>
        </c:ser>
        <c:axId val="86870656"/>
        <c:axId val="86897024"/>
      </c:scatterChart>
      <c:valAx>
        <c:axId val="86870656"/>
        <c:scaling>
          <c:orientation val="minMax"/>
        </c:scaling>
        <c:axPos val="b"/>
        <c:numFmt formatCode="General" sourceLinked="1"/>
        <c:tickLblPos val="nextTo"/>
        <c:crossAx val="86897024"/>
        <c:crosses val="autoZero"/>
        <c:crossBetween val="midCat"/>
      </c:valAx>
      <c:valAx>
        <c:axId val="86897024"/>
        <c:scaling>
          <c:orientation val="minMax"/>
        </c:scaling>
        <c:axPos val="l"/>
        <c:numFmt formatCode="General" sourceLinked="1"/>
        <c:tickLblPos val="nextTo"/>
        <c:crossAx val="8687065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strRef>
              <c:f>'2017-10-07'!$B$21</c:f>
              <c:strCache>
                <c:ptCount val="1"/>
                <c:pt idx="0">
                  <c:v>x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8876507790249658"/>
                  <c:y val="1.0198625702291192E-2"/>
                </c:manualLayout>
              </c:layout>
              <c:numFmt formatCode="General" sourceLinked="0"/>
            </c:trendlineLbl>
          </c:trendline>
          <c:xVal>
            <c:numRef>
              <c:f>'2017-10-07'!$A$22:$A$32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</c:numCache>
            </c:numRef>
          </c:xVal>
          <c:yVal>
            <c:numRef>
              <c:f>'2017-10-07'!$B$22:$B$32</c:f>
              <c:numCache>
                <c:formatCode>General</c:formatCode>
                <c:ptCount val="11"/>
                <c:pt idx="0">
                  <c:v>5.15</c:v>
                </c:pt>
                <c:pt idx="1">
                  <c:v>10.15</c:v>
                </c:pt>
                <c:pt idx="2">
                  <c:v>15.15</c:v>
                </c:pt>
                <c:pt idx="3">
                  <c:v>20.149999999999999</c:v>
                </c:pt>
                <c:pt idx="4">
                  <c:v>25.15</c:v>
                </c:pt>
                <c:pt idx="5">
                  <c:v>30.1</c:v>
                </c:pt>
                <c:pt idx="6">
                  <c:v>35.25</c:v>
                </c:pt>
                <c:pt idx="7">
                  <c:v>40.35</c:v>
                </c:pt>
                <c:pt idx="8">
                  <c:v>45.2</c:v>
                </c:pt>
                <c:pt idx="9">
                  <c:v>50.45</c:v>
                </c:pt>
                <c:pt idx="10">
                  <c:v>55.3</c:v>
                </c:pt>
              </c:numCache>
            </c:numRef>
          </c:yVal>
        </c:ser>
        <c:axId val="88965888"/>
        <c:axId val="88967424"/>
      </c:scatterChart>
      <c:valAx>
        <c:axId val="88965888"/>
        <c:scaling>
          <c:orientation val="minMax"/>
        </c:scaling>
        <c:axPos val="b"/>
        <c:numFmt formatCode="General" sourceLinked="1"/>
        <c:tickLblPos val="nextTo"/>
        <c:crossAx val="88967424"/>
        <c:crosses val="autoZero"/>
        <c:crossBetween val="midCat"/>
      </c:valAx>
      <c:valAx>
        <c:axId val="88967424"/>
        <c:scaling>
          <c:orientation val="minMax"/>
        </c:scaling>
        <c:axPos val="l"/>
        <c:numFmt formatCode="General" sourceLinked="1"/>
        <c:tickLblPos val="nextTo"/>
        <c:crossAx val="8896588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y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'2017-10-07'!$B$21</c:f>
              <c:strCache>
                <c:ptCount val="1"/>
                <c:pt idx="0">
                  <c:v>x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8876507790249669"/>
                  <c:y val="1.0198625702291192E-2"/>
                </c:manualLayout>
              </c:layout>
              <c:numFmt formatCode="General" sourceLinked="0"/>
            </c:trendlineLbl>
          </c:trendline>
          <c:xVal>
            <c:numRef>
              <c:f>'2017-10-07'!$A$40:$A$50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xVal>
          <c:yVal>
            <c:numRef>
              <c:f>'2017-10-07'!$B$40:$B$50</c:f>
              <c:numCache>
                <c:formatCode>General</c:formatCode>
                <c:ptCount val="11"/>
                <c:pt idx="0">
                  <c:v>10.1</c:v>
                </c:pt>
                <c:pt idx="1">
                  <c:v>15.05</c:v>
                </c:pt>
                <c:pt idx="2">
                  <c:v>20.05</c:v>
                </c:pt>
                <c:pt idx="3">
                  <c:v>25</c:v>
                </c:pt>
                <c:pt idx="4">
                  <c:v>30</c:v>
                </c:pt>
                <c:pt idx="5">
                  <c:v>34.9</c:v>
                </c:pt>
                <c:pt idx="6">
                  <c:v>40</c:v>
                </c:pt>
                <c:pt idx="7">
                  <c:v>44.85</c:v>
                </c:pt>
                <c:pt idx="8">
                  <c:v>49.8</c:v>
                </c:pt>
                <c:pt idx="9">
                  <c:v>54.85</c:v>
                </c:pt>
                <c:pt idx="10">
                  <c:v>59.8</c:v>
                </c:pt>
              </c:numCache>
            </c:numRef>
          </c:yVal>
        </c:ser>
        <c:axId val="89078400"/>
        <c:axId val="89088384"/>
      </c:scatterChart>
      <c:valAx>
        <c:axId val="89078400"/>
        <c:scaling>
          <c:orientation val="minMax"/>
        </c:scaling>
        <c:axPos val="b"/>
        <c:numFmt formatCode="General" sourceLinked="1"/>
        <c:tickLblPos val="nextTo"/>
        <c:crossAx val="89088384"/>
        <c:crosses val="autoZero"/>
        <c:crossBetween val="midCat"/>
      </c:valAx>
      <c:valAx>
        <c:axId val="89088384"/>
        <c:scaling>
          <c:orientation val="minMax"/>
        </c:scaling>
        <c:axPos val="l"/>
        <c:numFmt formatCode="General" sourceLinked="1"/>
        <c:tickLblPos val="nextTo"/>
        <c:crossAx val="8907840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strRef>
              <c:f>'2017-10-07'!$C$4</c:f>
              <c:strCache>
                <c:ptCount val="1"/>
                <c:pt idx="0">
                  <c:v>z (4046.41)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7630675154967357E-3"/>
                  <c:y val="-5.7164936611040443E-3"/>
                </c:manualLayout>
              </c:layout>
              <c:numFmt formatCode="General" sourceLinked="0"/>
            </c:trendlineLbl>
          </c:trendline>
          <c:xVal>
            <c:numRef>
              <c:f>'2017-10-07'!$A$5:$A$16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'2017-10-07'!$C$5:$C$16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9.3000000000000007</c:v>
                </c:pt>
                <c:pt idx="2">
                  <c:v>14.3</c:v>
                </c:pt>
                <c:pt idx="3">
                  <c:v>19.3</c:v>
                </c:pt>
                <c:pt idx="4">
                  <c:v>24.35</c:v>
                </c:pt>
                <c:pt idx="5">
                  <c:v>29.3</c:v>
                </c:pt>
                <c:pt idx="6">
                  <c:v>34.4</c:v>
                </c:pt>
                <c:pt idx="7">
                  <c:v>39.35</c:v>
                </c:pt>
                <c:pt idx="8">
                  <c:v>44.4</c:v>
                </c:pt>
                <c:pt idx="9">
                  <c:v>49.3</c:v>
                </c:pt>
                <c:pt idx="10">
                  <c:v>54.35</c:v>
                </c:pt>
                <c:pt idx="11">
                  <c:v>59.3</c:v>
                </c:pt>
              </c:numCache>
            </c:numRef>
          </c:yVal>
        </c:ser>
        <c:axId val="89109248"/>
        <c:axId val="89110784"/>
      </c:scatterChart>
      <c:valAx>
        <c:axId val="89109248"/>
        <c:scaling>
          <c:orientation val="minMax"/>
        </c:scaling>
        <c:axPos val="b"/>
        <c:numFmt formatCode="General" sourceLinked="1"/>
        <c:tickLblPos val="nextTo"/>
        <c:crossAx val="89110784"/>
        <c:crosses val="autoZero"/>
        <c:crossBetween val="midCat"/>
      </c:valAx>
      <c:valAx>
        <c:axId val="89110784"/>
        <c:scaling>
          <c:orientation val="minMax"/>
        </c:scaling>
        <c:axPos val="l"/>
        <c:numFmt formatCode="General" sourceLinked="1"/>
        <c:tickLblPos val="nextTo"/>
        <c:crossAx val="8910924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82550</xdr:rowOff>
    </xdr:from>
    <xdr:to>
      <xdr:col>13</xdr:col>
      <xdr:colOff>317500</xdr:colOff>
      <xdr:row>17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</xdr:row>
      <xdr:rowOff>6350</xdr:rowOff>
    </xdr:from>
    <xdr:to>
      <xdr:col>11</xdr:col>
      <xdr:colOff>520700</xdr:colOff>
      <xdr:row>16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</xdr:colOff>
      <xdr:row>20</xdr:row>
      <xdr:rowOff>57150</xdr:rowOff>
    </xdr:from>
    <xdr:to>
      <xdr:col>11</xdr:col>
      <xdr:colOff>514350</xdr:colOff>
      <xdr:row>33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6350</xdr:colOff>
      <xdr:row>37</xdr:row>
      <xdr:rowOff>158750</xdr:rowOff>
    </xdr:from>
    <xdr:to>
      <xdr:col>11</xdr:col>
      <xdr:colOff>514350</xdr:colOff>
      <xdr:row>50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</xdr:row>
      <xdr:rowOff>19050</xdr:rowOff>
    </xdr:from>
    <xdr:to>
      <xdr:col>19</xdr:col>
      <xdr:colOff>508000</xdr:colOff>
      <xdr:row>16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7" sqref="B7"/>
    </sheetView>
  </sheetViews>
  <sheetFormatPr defaultRowHeight="14.5"/>
  <sheetData>
    <row r="1" spans="1:4">
      <c r="A1" t="s">
        <v>3</v>
      </c>
    </row>
    <row r="2" spans="1:4">
      <c r="A2" t="s">
        <v>0</v>
      </c>
      <c r="B2" t="s">
        <v>1</v>
      </c>
      <c r="C2" t="s">
        <v>2</v>
      </c>
    </row>
    <row r="3" spans="1:4">
      <c r="A3">
        <v>53.125</v>
      </c>
      <c r="B3">
        <v>54.1</v>
      </c>
      <c r="C3">
        <v>52.2</v>
      </c>
      <c r="D3" s="1">
        <f>B3/C3-1</f>
        <v>3.6398467432950055E-2</v>
      </c>
    </row>
    <row r="4" spans="1:4">
      <c r="A4">
        <v>33.5</v>
      </c>
      <c r="B4">
        <v>34.4</v>
      </c>
      <c r="C4">
        <v>32.9</v>
      </c>
      <c r="D4" s="1"/>
    </row>
    <row r="5" spans="1:4">
      <c r="A5">
        <v>25</v>
      </c>
      <c r="B5">
        <v>25.5</v>
      </c>
      <c r="C5">
        <v>24.3</v>
      </c>
      <c r="D5" s="1"/>
    </row>
    <row r="6" spans="1:4">
      <c r="D6" s="1"/>
    </row>
    <row r="7" spans="1:4">
      <c r="A7" t="s">
        <v>13</v>
      </c>
      <c r="B7">
        <f>SLOPE(B3:B5,$A$3:$A$5)</f>
        <v>1.0146036196150092</v>
      </c>
      <c r="C7">
        <f>SLOPE(C3:C5,$A$3:$A$5)</f>
        <v>0.99050289118626245</v>
      </c>
      <c r="D7" s="1">
        <f>B7/C7-1</f>
        <v>2.4331810278597876E-2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4"/>
  <sheetViews>
    <sheetView workbookViewId="0">
      <selection activeCell="D18" sqref="D18"/>
    </sheetView>
  </sheetViews>
  <sheetFormatPr defaultRowHeight="14.5"/>
  <sheetData>
    <row r="1" spans="1:28">
      <c r="A1" t="s">
        <v>4</v>
      </c>
    </row>
    <row r="4" spans="1:28">
      <c r="A4" t="s">
        <v>0</v>
      </c>
      <c r="B4" t="s">
        <v>14</v>
      </c>
      <c r="C4" t="s">
        <v>15</v>
      </c>
      <c r="D4" t="s">
        <v>23</v>
      </c>
      <c r="Z4" t="s">
        <v>9</v>
      </c>
      <c r="AA4">
        <v>4000</v>
      </c>
      <c r="AB4" t="s">
        <v>10</v>
      </c>
    </row>
    <row r="5" spans="1:28">
      <c r="A5">
        <v>5</v>
      </c>
      <c r="B5">
        <v>4.5</v>
      </c>
      <c r="C5">
        <v>4.3499999999999996</v>
      </c>
      <c r="D5">
        <v>5.0999999999999996</v>
      </c>
      <c r="Z5" t="s">
        <v>12</v>
      </c>
      <c r="AA5">
        <f>AA4/B18</f>
        <v>4046.4063384267124</v>
      </c>
      <c r="AB5" t="s">
        <v>10</v>
      </c>
    </row>
    <row r="6" spans="1:28">
      <c r="A6">
        <v>10</v>
      </c>
      <c r="B6">
        <v>9.4</v>
      </c>
      <c r="C6">
        <v>9.3000000000000007</v>
      </c>
      <c r="D6">
        <v>10</v>
      </c>
    </row>
    <row r="7" spans="1:28">
      <c r="A7">
        <v>15</v>
      </c>
      <c r="B7">
        <v>14.3</v>
      </c>
      <c r="C7">
        <v>14.3</v>
      </c>
      <c r="D7">
        <v>15</v>
      </c>
    </row>
    <row r="8" spans="1:28">
      <c r="A8">
        <v>20</v>
      </c>
      <c r="B8">
        <v>19.2</v>
      </c>
      <c r="C8">
        <v>19.3</v>
      </c>
      <c r="D8">
        <v>19.95</v>
      </c>
    </row>
    <row r="9" spans="1:28">
      <c r="A9">
        <v>25</v>
      </c>
      <c r="B9">
        <v>24.15</v>
      </c>
      <c r="C9">
        <v>24.35</v>
      </c>
      <c r="D9">
        <v>24.95</v>
      </c>
    </row>
    <row r="10" spans="1:28">
      <c r="A10">
        <v>30</v>
      </c>
      <c r="B10">
        <v>29.1</v>
      </c>
      <c r="C10">
        <v>29.3</v>
      </c>
      <c r="D10">
        <v>29.95</v>
      </c>
    </row>
    <row r="11" spans="1:28">
      <c r="A11">
        <v>35</v>
      </c>
      <c r="B11">
        <v>34.15</v>
      </c>
      <c r="C11">
        <v>34.4</v>
      </c>
      <c r="D11">
        <v>35</v>
      </c>
    </row>
    <row r="12" spans="1:28">
      <c r="A12">
        <v>40</v>
      </c>
      <c r="B12">
        <v>39</v>
      </c>
      <c r="C12">
        <v>39.35</v>
      </c>
      <c r="D12">
        <v>40</v>
      </c>
    </row>
    <row r="13" spans="1:28">
      <c r="A13">
        <v>45</v>
      </c>
      <c r="B13">
        <v>44</v>
      </c>
      <c r="C13">
        <v>44.4</v>
      </c>
      <c r="D13">
        <v>44.95</v>
      </c>
    </row>
    <row r="14" spans="1:28">
      <c r="A14">
        <v>50</v>
      </c>
      <c r="B14">
        <v>48.9</v>
      </c>
      <c r="C14">
        <v>49.3</v>
      </c>
      <c r="D14">
        <v>49.95</v>
      </c>
    </row>
    <row r="15" spans="1:28">
      <c r="A15">
        <v>55</v>
      </c>
      <c r="B15">
        <v>53.9</v>
      </c>
      <c r="C15">
        <v>54.35</v>
      </c>
      <c r="D15">
        <v>55</v>
      </c>
    </row>
    <row r="16" spans="1:28">
      <c r="A16">
        <v>60</v>
      </c>
      <c r="B16">
        <v>58.8</v>
      </c>
      <c r="C16">
        <v>59.3</v>
      </c>
      <c r="D16">
        <v>59.95</v>
      </c>
    </row>
    <row r="18" spans="1:4">
      <c r="A18" t="s">
        <v>11</v>
      </c>
      <c r="B18" s="2">
        <f>SLOPE(B5:B16,A5:A16)</f>
        <v>0.98853146853146845</v>
      </c>
      <c r="C18" s="2">
        <f>SLOPE(C5:C16,$A$5:$A$16)</f>
        <v>1.0003496503496503</v>
      </c>
      <c r="D18" s="2">
        <f>SLOPE(D5:D16,$A$5:$A$16)</f>
        <v>0.99874125874125874</v>
      </c>
    </row>
    <row r="19" spans="1:4">
      <c r="A19" t="s">
        <v>16</v>
      </c>
      <c r="B19">
        <f>INTERCEPT(B5:B16, $A$5:$A$16)</f>
        <v>-0.51060606060606162</v>
      </c>
      <c r="C19">
        <f>INTERCEPT(C5:C16, $A$5:$A$16)</f>
        <v>-0.67803030303030098</v>
      </c>
      <c r="D19">
        <f>INTERCEPT(D5:D16, $A$5:$A$16)</f>
        <v>2.4242424242416405E-2</v>
      </c>
    </row>
    <row r="21" spans="1:4">
      <c r="A21" t="s">
        <v>0</v>
      </c>
      <c r="B21" t="s">
        <v>5</v>
      </c>
    </row>
    <row r="22" spans="1:4">
      <c r="A22">
        <v>5</v>
      </c>
      <c r="B22">
        <v>5.15</v>
      </c>
    </row>
    <row r="23" spans="1:4">
      <c r="A23">
        <v>10</v>
      </c>
      <c r="B23">
        <v>10.15</v>
      </c>
    </row>
    <row r="24" spans="1:4">
      <c r="A24">
        <v>15</v>
      </c>
      <c r="B24">
        <v>15.15</v>
      </c>
    </row>
    <row r="25" spans="1:4">
      <c r="A25">
        <v>20</v>
      </c>
      <c r="B25">
        <v>20.149999999999999</v>
      </c>
    </row>
    <row r="26" spans="1:4">
      <c r="A26">
        <v>25</v>
      </c>
      <c r="B26">
        <v>25.15</v>
      </c>
    </row>
    <row r="27" spans="1:4">
      <c r="A27">
        <v>30</v>
      </c>
      <c r="B27">
        <v>30.1</v>
      </c>
    </row>
    <row r="28" spans="1:4">
      <c r="A28">
        <v>35</v>
      </c>
      <c r="B28">
        <v>35.25</v>
      </c>
    </row>
    <row r="29" spans="1:4">
      <c r="A29">
        <v>40</v>
      </c>
      <c r="B29">
        <v>40.35</v>
      </c>
    </row>
    <row r="30" spans="1:4">
      <c r="A30">
        <v>45</v>
      </c>
      <c r="B30">
        <v>45.2</v>
      </c>
    </row>
    <row r="31" spans="1:4">
      <c r="A31">
        <v>50</v>
      </c>
      <c r="B31">
        <v>50.45</v>
      </c>
    </row>
    <row r="32" spans="1:4">
      <c r="A32">
        <v>55</v>
      </c>
      <c r="B32">
        <v>55.3</v>
      </c>
    </row>
    <row r="33" spans="1:2">
      <c r="A33">
        <v>60</v>
      </c>
      <c r="B33" t="s">
        <v>6</v>
      </c>
    </row>
    <row r="37" spans="1:2">
      <c r="A37" t="s">
        <v>8</v>
      </c>
    </row>
    <row r="38" spans="1:2">
      <c r="A38" t="s">
        <v>0</v>
      </c>
      <c r="B38" t="s">
        <v>7</v>
      </c>
    </row>
    <row r="39" spans="1:2">
      <c r="A39">
        <v>5</v>
      </c>
      <c r="B39">
        <v>5.15</v>
      </c>
    </row>
    <row r="40" spans="1:2">
      <c r="A40">
        <v>10</v>
      </c>
      <c r="B40">
        <v>10.1</v>
      </c>
    </row>
    <row r="41" spans="1:2">
      <c r="A41">
        <v>15</v>
      </c>
      <c r="B41">
        <v>15.05</v>
      </c>
    </row>
    <row r="42" spans="1:2">
      <c r="A42">
        <v>20</v>
      </c>
      <c r="B42">
        <v>20.05</v>
      </c>
    </row>
    <row r="43" spans="1:2">
      <c r="A43">
        <v>25</v>
      </c>
      <c r="B43">
        <v>25</v>
      </c>
    </row>
    <row r="44" spans="1:2">
      <c r="A44">
        <v>30</v>
      </c>
      <c r="B44">
        <v>30</v>
      </c>
    </row>
    <row r="45" spans="1:2">
      <c r="A45">
        <v>35</v>
      </c>
      <c r="B45">
        <v>34.9</v>
      </c>
    </row>
    <row r="46" spans="1:2">
      <c r="A46">
        <v>40</v>
      </c>
      <c r="B46">
        <v>40</v>
      </c>
    </row>
    <row r="47" spans="1:2">
      <c r="A47">
        <v>45</v>
      </c>
      <c r="B47">
        <v>44.85</v>
      </c>
    </row>
    <row r="48" spans="1:2">
      <c r="A48">
        <v>50</v>
      </c>
      <c r="B48">
        <v>49.8</v>
      </c>
    </row>
    <row r="49" spans="1:6">
      <c r="A49">
        <v>55</v>
      </c>
      <c r="B49">
        <v>54.85</v>
      </c>
    </row>
    <row r="50" spans="1:6">
      <c r="A50">
        <v>60</v>
      </c>
      <c r="B50">
        <v>59.8</v>
      </c>
    </row>
    <row r="56" spans="1:6">
      <c r="A56" t="s">
        <v>17</v>
      </c>
      <c r="B56" t="s">
        <v>18</v>
      </c>
      <c r="C56" t="s">
        <v>19</v>
      </c>
      <c r="E56" t="s">
        <v>21</v>
      </c>
      <c r="F56" t="s">
        <v>22</v>
      </c>
    </row>
    <row r="57" spans="1:6">
      <c r="A57">
        <v>0.2</v>
      </c>
      <c r="B57">
        <v>0.2</v>
      </c>
      <c r="E57">
        <v>0</v>
      </c>
      <c r="F57">
        <v>0.35</v>
      </c>
    </row>
    <row r="58" spans="1:6">
      <c r="A58">
        <v>0.4</v>
      </c>
      <c r="B58">
        <v>0.4</v>
      </c>
      <c r="C58">
        <v>0.35</v>
      </c>
      <c r="E58">
        <v>0.3</v>
      </c>
      <c r="F58">
        <v>0.5</v>
      </c>
    </row>
    <row r="59" spans="1:6">
      <c r="A59">
        <v>0.6</v>
      </c>
      <c r="B59">
        <v>0.6</v>
      </c>
      <c r="C59">
        <v>0.45</v>
      </c>
      <c r="E59">
        <v>0.4</v>
      </c>
      <c r="F59">
        <v>0.65</v>
      </c>
    </row>
    <row r="60" spans="1:6">
      <c r="A60">
        <v>0.8</v>
      </c>
      <c r="B60">
        <v>0.8</v>
      </c>
      <c r="C60">
        <v>0.7</v>
      </c>
      <c r="E60">
        <v>0.6</v>
      </c>
      <c r="F60">
        <v>0.75</v>
      </c>
    </row>
    <row r="61" spans="1:6">
      <c r="A61">
        <v>1</v>
      </c>
      <c r="B61">
        <v>1</v>
      </c>
      <c r="C61">
        <v>0.9</v>
      </c>
      <c r="E61">
        <v>0.8</v>
      </c>
      <c r="F61">
        <v>0.95</v>
      </c>
    </row>
    <row r="62" spans="1:6">
      <c r="A62">
        <v>10</v>
      </c>
      <c r="E62">
        <v>9.65</v>
      </c>
      <c r="F62">
        <v>9.9499999999999993</v>
      </c>
    </row>
    <row r="64" spans="1:6">
      <c r="C64" t="s">
        <v>20</v>
      </c>
    </row>
  </sheetData>
  <pageMargins left="0.7" right="0.7" top="0.75" bottom="0.75" header="0.3" footer="0.3"/>
  <pageSetup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1"/>
  <sheetViews>
    <sheetView workbookViewId="0">
      <selection activeCell="D14" sqref="D14:D17"/>
    </sheetView>
  </sheetViews>
  <sheetFormatPr defaultRowHeight="14.5"/>
  <cols>
    <col min="1" max="1" width="34.6328125" customWidth="1"/>
  </cols>
  <sheetData>
    <row r="1" spans="1:7">
      <c r="A1" t="s">
        <v>24</v>
      </c>
    </row>
    <row r="3" spans="1:7" ht="43.5"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38</v>
      </c>
    </row>
    <row r="4" spans="1:7">
      <c r="A4" t="s">
        <v>78</v>
      </c>
      <c r="D4" s="4"/>
      <c r="E4" s="4"/>
      <c r="F4" s="4"/>
      <c r="G4" s="4">
        <v>945</v>
      </c>
    </row>
    <row r="5" spans="1:7">
      <c r="A5" t="s">
        <v>39</v>
      </c>
      <c r="B5">
        <v>200</v>
      </c>
      <c r="C5">
        <v>16</v>
      </c>
      <c r="D5">
        <v>61</v>
      </c>
      <c r="E5">
        <v>13</v>
      </c>
      <c r="F5">
        <v>7.55</v>
      </c>
      <c r="G5" s="6">
        <f>B5*C5*(D5/E5)/(F5*PI())</f>
        <v>633.05236661310187</v>
      </c>
    </row>
    <row r="7" spans="1:7">
      <c r="A7" t="s">
        <v>42</v>
      </c>
      <c r="B7">
        <v>1</v>
      </c>
      <c r="C7">
        <v>2</v>
      </c>
      <c r="D7">
        <v>3</v>
      </c>
    </row>
    <row r="8" spans="1:7">
      <c r="A8" t="s">
        <v>51</v>
      </c>
      <c r="B8" t="s">
        <v>52</v>
      </c>
    </row>
    <row r="9" spans="1:7">
      <c r="A9" t="s">
        <v>38</v>
      </c>
      <c r="B9">
        <v>630</v>
      </c>
      <c r="C9">
        <v>620</v>
      </c>
      <c r="D9">
        <v>620</v>
      </c>
    </row>
    <row r="10" spans="1:7">
      <c r="A10" t="s">
        <v>55</v>
      </c>
      <c r="B10" t="s">
        <v>56</v>
      </c>
      <c r="D10">
        <v>100</v>
      </c>
    </row>
    <row r="11" spans="1:7">
      <c r="A11" t="s">
        <v>43</v>
      </c>
      <c r="B11">
        <v>100</v>
      </c>
      <c r="C11">
        <v>100</v>
      </c>
      <c r="D11">
        <v>100</v>
      </c>
    </row>
    <row r="12" spans="1:7">
      <c r="A12" t="s">
        <v>44</v>
      </c>
      <c r="B12">
        <v>120</v>
      </c>
      <c r="C12">
        <v>119.9</v>
      </c>
      <c r="D12">
        <v>120</v>
      </c>
    </row>
    <row r="13" spans="1:7">
      <c r="A13" t="s">
        <v>45</v>
      </c>
      <c r="B13">
        <v>18.41</v>
      </c>
      <c r="C13">
        <v>19.03</v>
      </c>
      <c r="D13">
        <v>23.5</v>
      </c>
    </row>
    <row r="14" spans="1:7">
      <c r="A14" t="s">
        <v>46</v>
      </c>
      <c r="B14">
        <f t="shared" ref="B14:C14" si="0">B12-B13</f>
        <v>101.59</v>
      </c>
      <c r="C14">
        <f t="shared" si="0"/>
        <v>100.87</v>
      </c>
      <c r="D14">
        <f t="shared" ref="D14" si="1">D12-D13</f>
        <v>96.5</v>
      </c>
    </row>
    <row r="15" spans="1:7">
      <c r="A15" t="s">
        <v>47</v>
      </c>
      <c r="B15" s="5">
        <f t="shared" ref="B15:C15" si="2">B11/B14</f>
        <v>0.9843488532335859</v>
      </c>
      <c r="C15" s="5">
        <f t="shared" si="2"/>
        <v>0.99137503717656383</v>
      </c>
      <c r="D15" s="5">
        <f t="shared" ref="D15" si="3">D11/D14</f>
        <v>1.0362694300518134</v>
      </c>
    </row>
    <row r="16" spans="1:7">
      <c r="A16" t="s">
        <v>48</v>
      </c>
      <c r="B16">
        <f t="shared" ref="B16:C16" si="4">B9*B15</f>
        <v>620.13977753715915</v>
      </c>
      <c r="C16">
        <f t="shared" si="4"/>
        <v>614.65252304946955</v>
      </c>
      <c r="D16">
        <f t="shared" ref="D16" si="5">D9*D15</f>
        <v>642.48704663212425</v>
      </c>
    </row>
    <row r="17" spans="1:7">
      <c r="A17" t="s">
        <v>49</v>
      </c>
      <c r="B17">
        <f>4907.76/B16</f>
        <v>7.913957752380953</v>
      </c>
      <c r="C17">
        <f>4907.76/C16</f>
        <v>7.9846088903225816</v>
      </c>
      <c r="D17">
        <f>4907.76/D16</f>
        <v>7.6386909677419368</v>
      </c>
    </row>
    <row r="23" spans="1:7" ht="15" thickBot="1">
      <c r="A23" s="8" t="s">
        <v>77</v>
      </c>
    </row>
    <row r="24" spans="1:7" ht="15" thickBot="1">
      <c r="A24" s="3"/>
    </row>
    <row r="25" spans="1:7">
      <c r="A25" t="s">
        <v>26</v>
      </c>
    </row>
    <row r="26" spans="1:7">
      <c r="A26" t="s">
        <v>25</v>
      </c>
    </row>
    <row r="28" spans="1:7" ht="43.5">
      <c r="B28" s="4" t="s">
        <v>27</v>
      </c>
      <c r="C28" s="4" t="s">
        <v>28</v>
      </c>
      <c r="D28" s="4" t="s">
        <v>29</v>
      </c>
      <c r="E28" s="4" t="s">
        <v>30</v>
      </c>
      <c r="F28" s="4" t="s">
        <v>31</v>
      </c>
      <c r="G28" s="4" t="s">
        <v>38</v>
      </c>
    </row>
    <row r="29" spans="1:7">
      <c r="A29" t="s">
        <v>41</v>
      </c>
      <c r="B29">
        <v>200</v>
      </c>
      <c r="C29">
        <v>16</v>
      </c>
      <c r="D29" s="4"/>
      <c r="E29" s="4"/>
      <c r="F29" s="4"/>
      <c r="G29" s="4">
        <v>920</v>
      </c>
    </row>
    <row r="30" spans="1:7">
      <c r="A30" t="s">
        <v>39</v>
      </c>
      <c r="B30">
        <v>200</v>
      </c>
      <c r="C30">
        <v>16</v>
      </c>
      <c r="D30">
        <v>53</v>
      </c>
      <c r="E30">
        <v>11</v>
      </c>
      <c r="F30">
        <v>5.35</v>
      </c>
      <c r="G30" s="6">
        <f>B30*C30*(D30/E30)/(F30*PI())</f>
        <v>917.33826162737307</v>
      </c>
    </row>
    <row r="31" spans="1:7">
      <c r="A31" t="s">
        <v>40</v>
      </c>
      <c r="B31">
        <v>200</v>
      </c>
      <c r="C31">
        <v>16</v>
      </c>
      <c r="D31">
        <v>53</v>
      </c>
      <c r="E31">
        <v>9</v>
      </c>
      <c r="F31">
        <v>5.35</v>
      </c>
      <c r="G31" s="6">
        <f>B31*C31*(D31/E31)/(F31*PI())</f>
        <v>1121.1912086556781</v>
      </c>
    </row>
    <row r="32" spans="1:7">
      <c r="A32" t="s">
        <v>49</v>
      </c>
      <c r="B32">
        <v>200</v>
      </c>
      <c r="C32">
        <v>16</v>
      </c>
      <c r="D32">
        <v>53</v>
      </c>
      <c r="E32">
        <v>11</v>
      </c>
      <c r="F32" s="6">
        <f>((B32*C32)*(D32/E32))/G32/PI()</f>
        <v>4.6911774205542951</v>
      </c>
      <c r="G32">
        <v>1046.1679999999999</v>
      </c>
    </row>
    <row r="33" spans="1:7">
      <c r="A33" t="s">
        <v>49</v>
      </c>
      <c r="B33">
        <v>200</v>
      </c>
      <c r="C33">
        <v>16</v>
      </c>
      <c r="D33">
        <v>53</v>
      </c>
      <c r="E33">
        <v>11</v>
      </c>
      <c r="F33" s="6">
        <f>((B33*C33)*(D33/E33))/G33/PI()</f>
        <v>5.3345214127243974</v>
      </c>
      <c r="G33">
        <v>920</v>
      </c>
    </row>
    <row r="34" spans="1:7">
      <c r="F34">
        <f>((B33*C33)*(D33/E33))/PI()</f>
        <v>4907.7596997064456</v>
      </c>
    </row>
    <row r="35" spans="1:7">
      <c r="A35" t="s">
        <v>50</v>
      </c>
    </row>
    <row r="41" spans="1:7">
      <c r="A41" t="s">
        <v>32</v>
      </c>
    </row>
    <row r="42" spans="1:7">
      <c r="A42" t="s">
        <v>33</v>
      </c>
    </row>
    <row r="43" spans="1:7">
      <c r="A43" t="s">
        <v>34</v>
      </c>
    </row>
    <row r="44" spans="1:7">
      <c r="A44" t="s">
        <v>35</v>
      </c>
    </row>
    <row r="45" spans="1:7">
      <c r="A45" t="s">
        <v>36</v>
      </c>
    </row>
    <row r="46" spans="1:7">
      <c r="A46" t="s">
        <v>37</v>
      </c>
    </row>
    <row r="49" spans="1:19">
      <c r="A49" t="s">
        <v>42</v>
      </c>
      <c r="B49">
        <v>1</v>
      </c>
      <c r="C49">
        <v>2</v>
      </c>
      <c r="D49">
        <v>3</v>
      </c>
    </row>
    <row r="50" spans="1:19">
      <c r="A50" t="s">
        <v>51</v>
      </c>
      <c r="B50" t="s">
        <v>52</v>
      </c>
      <c r="C50" t="s">
        <v>53</v>
      </c>
      <c r="K50" t="s">
        <v>57</v>
      </c>
      <c r="L50" t="s">
        <v>59</v>
      </c>
      <c r="R50" s="7" t="s">
        <v>60</v>
      </c>
      <c r="S50" s="7" t="s">
        <v>61</v>
      </c>
    </row>
    <row r="51" spans="1:19">
      <c r="A51" t="s">
        <v>38</v>
      </c>
      <c r="B51">
        <v>920</v>
      </c>
      <c r="C51">
        <v>920</v>
      </c>
      <c r="D51">
        <v>920</v>
      </c>
      <c r="E51">
        <v>920</v>
      </c>
      <c r="F51">
        <v>1028</v>
      </c>
      <c r="G51">
        <v>1028</v>
      </c>
      <c r="H51">
        <v>1028</v>
      </c>
      <c r="I51">
        <v>1028</v>
      </c>
      <c r="J51">
        <v>1028</v>
      </c>
      <c r="K51">
        <v>1028</v>
      </c>
      <c r="L51">
        <v>1028</v>
      </c>
      <c r="M51">
        <v>1028</v>
      </c>
      <c r="N51">
        <v>1028</v>
      </c>
      <c r="O51">
        <v>920</v>
      </c>
      <c r="P51">
        <v>1230</v>
      </c>
      <c r="Q51">
        <v>1230</v>
      </c>
      <c r="R51">
        <v>1230</v>
      </c>
      <c r="S51">
        <v>1230</v>
      </c>
    </row>
    <row r="52" spans="1:19">
      <c r="A52" t="s">
        <v>55</v>
      </c>
      <c r="B52" t="s">
        <v>56</v>
      </c>
      <c r="C52" t="s">
        <v>56</v>
      </c>
      <c r="D52" t="s">
        <v>56</v>
      </c>
      <c r="E52" t="s">
        <v>56</v>
      </c>
      <c r="F52" t="s">
        <v>56</v>
      </c>
      <c r="G52" t="s">
        <v>56</v>
      </c>
      <c r="H52">
        <v>10</v>
      </c>
      <c r="I52">
        <v>300</v>
      </c>
      <c r="J52">
        <v>600</v>
      </c>
      <c r="K52">
        <v>600</v>
      </c>
      <c r="L52">
        <v>600</v>
      </c>
      <c r="M52">
        <v>300</v>
      </c>
      <c r="N52">
        <v>100</v>
      </c>
      <c r="O52">
        <v>100</v>
      </c>
      <c r="P52">
        <v>100</v>
      </c>
      <c r="Q52">
        <v>50</v>
      </c>
      <c r="R52">
        <v>100</v>
      </c>
      <c r="S52">
        <v>100</v>
      </c>
    </row>
    <row r="53" spans="1:19">
      <c r="A53" t="s">
        <v>43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</row>
    <row r="54" spans="1:19">
      <c r="A54" t="s">
        <v>44</v>
      </c>
      <c r="B54">
        <v>124.9</v>
      </c>
      <c r="C54">
        <v>119.98</v>
      </c>
      <c r="D54">
        <v>120.22</v>
      </c>
      <c r="E54">
        <v>120.37</v>
      </c>
      <c r="F54">
        <v>120.37</v>
      </c>
      <c r="G54">
        <v>120.45</v>
      </c>
      <c r="H54">
        <v>120.54</v>
      </c>
      <c r="I54">
        <v>120.64</v>
      </c>
      <c r="J54">
        <v>120.57</v>
      </c>
      <c r="K54">
        <v>120.52</v>
      </c>
      <c r="L54">
        <v>120</v>
      </c>
      <c r="M54">
        <v>120</v>
      </c>
      <c r="N54">
        <v>120.27</v>
      </c>
      <c r="O54">
        <v>120.22</v>
      </c>
      <c r="P54">
        <v>120.43</v>
      </c>
      <c r="Q54">
        <v>120.37</v>
      </c>
      <c r="R54">
        <v>119.64</v>
      </c>
      <c r="S54">
        <v>120.02</v>
      </c>
    </row>
    <row r="55" spans="1:19">
      <c r="A55" t="s">
        <v>45</v>
      </c>
      <c r="B55">
        <v>36.96</v>
      </c>
      <c r="C55">
        <v>18.95</v>
      </c>
      <c r="D55">
        <v>29.3</v>
      </c>
      <c r="E55">
        <v>30.86</v>
      </c>
      <c r="F55">
        <v>33.799999999999997</v>
      </c>
      <c r="G55">
        <v>36.68</v>
      </c>
      <c r="H55">
        <v>37.24</v>
      </c>
      <c r="I55">
        <v>55.09</v>
      </c>
      <c r="J55">
        <v>25.27</v>
      </c>
      <c r="K55">
        <v>89.04</v>
      </c>
      <c r="L55">
        <v>87.37</v>
      </c>
      <c r="N55">
        <v>37.020000000000003</v>
      </c>
      <c r="O55">
        <v>45.3</v>
      </c>
      <c r="P55">
        <v>21.12</v>
      </c>
      <c r="Q55">
        <v>20.48</v>
      </c>
      <c r="R55">
        <v>20.260000000000002</v>
      </c>
      <c r="S55">
        <v>20.98</v>
      </c>
    </row>
    <row r="56" spans="1:19">
      <c r="A56" t="s">
        <v>46</v>
      </c>
      <c r="B56">
        <f t="shared" ref="B56:G56" si="6">B54-B55</f>
        <v>87.94</v>
      </c>
      <c r="C56">
        <f t="shared" si="6"/>
        <v>101.03</v>
      </c>
      <c r="D56">
        <f t="shared" si="6"/>
        <v>90.92</v>
      </c>
      <c r="E56">
        <f t="shared" si="6"/>
        <v>89.51</v>
      </c>
      <c r="F56">
        <f t="shared" si="6"/>
        <v>86.570000000000007</v>
      </c>
      <c r="G56">
        <f t="shared" si="6"/>
        <v>83.77000000000001</v>
      </c>
      <c r="H56">
        <f t="shared" ref="H56:S56" si="7">H54-H55</f>
        <v>83.300000000000011</v>
      </c>
      <c r="I56">
        <f t="shared" si="7"/>
        <v>65.55</v>
      </c>
      <c r="J56">
        <f t="shared" si="7"/>
        <v>95.3</v>
      </c>
      <c r="K56">
        <f t="shared" si="7"/>
        <v>31.47999999999999</v>
      </c>
      <c r="L56">
        <f t="shared" si="7"/>
        <v>32.629999999999995</v>
      </c>
      <c r="N56">
        <f t="shared" si="7"/>
        <v>83.25</v>
      </c>
      <c r="O56">
        <f t="shared" si="7"/>
        <v>74.92</v>
      </c>
      <c r="P56">
        <f t="shared" si="7"/>
        <v>99.31</v>
      </c>
      <c r="Q56">
        <f t="shared" si="7"/>
        <v>99.89</v>
      </c>
      <c r="R56">
        <f t="shared" si="7"/>
        <v>99.38</v>
      </c>
      <c r="S56">
        <f t="shared" si="7"/>
        <v>99.039999999999992</v>
      </c>
    </row>
    <row r="57" spans="1:19">
      <c r="A57" t="s">
        <v>47</v>
      </c>
      <c r="B57" s="5">
        <f t="shared" ref="B57:G57" si="8">B53/B56</f>
        <v>1.1371389583807141</v>
      </c>
      <c r="C57" s="5">
        <f t="shared" si="8"/>
        <v>0.98980500841334251</v>
      </c>
      <c r="D57" s="5">
        <f t="shared" si="8"/>
        <v>1.0998680158380993</v>
      </c>
      <c r="E57" s="5">
        <f t="shared" si="8"/>
        <v>1.1171936096525528</v>
      </c>
      <c r="F57" s="5">
        <f t="shared" si="8"/>
        <v>1.1551345731777751</v>
      </c>
      <c r="G57" s="5">
        <f t="shared" si="8"/>
        <v>1.1937447773665988</v>
      </c>
      <c r="H57" s="5">
        <f t="shared" ref="H57:S57" si="9">H53/H56</f>
        <v>1.2004801920768307</v>
      </c>
      <c r="I57" s="5">
        <f t="shared" si="9"/>
        <v>1.5255530129672006</v>
      </c>
      <c r="J57" s="5">
        <f t="shared" si="9"/>
        <v>1.0493179433368311</v>
      </c>
      <c r="K57" s="5">
        <f t="shared" si="9"/>
        <v>3.176620076238883</v>
      </c>
      <c r="L57" s="5">
        <f t="shared" si="9"/>
        <v>3.064664419246093</v>
      </c>
      <c r="M57" s="5"/>
      <c r="N57" s="5">
        <f t="shared" si="9"/>
        <v>1.2012012012012012</v>
      </c>
      <c r="O57" s="5">
        <f t="shared" si="9"/>
        <v>1.3347570742124932</v>
      </c>
      <c r="P57" s="5">
        <f t="shared" si="9"/>
        <v>1.006947940791461</v>
      </c>
      <c r="Q57" s="5">
        <f t="shared" si="9"/>
        <v>1.0011012113324658</v>
      </c>
      <c r="R57" s="5">
        <f t="shared" si="9"/>
        <v>1.0062386798148522</v>
      </c>
      <c r="S57" s="5">
        <f t="shared" si="9"/>
        <v>1.0096930533117934</v>
      </c>
    </row>
    <row r="58" spans="1:19">
      <c r="A58" t="s">
        <v>48</v>
      </c>
      <c r="B58">
        <f t="shared" ref="B58:G58" si="10">B51*B57</f>
        <v>1046.1678417102569</v>
      </c>
      <c r="C58">
        <f t="shared" si="10"/>
        <v>910.62060774027509</v>
      </c>
      <c r="D58">
        <f t="shared" si="10"/>
        <v>1011.8785745710514</v>
      </c>
      <c r="E58">
        <f t="shared" si="10"/>
        <v>1027.8181208803485</v>
      </c>
      <c r="F58">
        <f t="shared" si="10"/>
        <v>1187.4783412267527</v>
      </c>
      <c r="G58">
        <f t="shared" si="10"/>
        <v>1227.1696311328635</v>
      </c>
      <c r="H58">
        <f t="shared" ref="H58:S58" si="11">H51*H57</f>
        <v>1234.0936374549819</v>
      </c>
      <c r="I58">
        <f t="shared" si="11"/>
        <v>1568.2684973302821</v>
      </c>
      <c r="J58">
        <f t="shared" si="11"/>
        <v>1078.6988457502625</v>
      </c>
      <c r="K58">
        <f t="shared" si="11"/>
        <v>3265.5654383735719</v>
      </c>
      <c r="L58">
        <f t="shared" si="11"/>
        <v>3150.4750229849838</v>
      </c>
      <c r="N58">
        <f t="shared" si="11"/>
        <v>1234.834834834835</v>
      </c>
      <c r="O58">
        <f t="shared" si="11"/>
        <v>1227.9765082754939</v>
      </c>
      <c r="P58">
        <f t="shared" si="11"/>
        <v>1238.545967173497</v>
      </c>
      <c r="Q58">
        <f t="shared" si="11"/>
        <v>1231.3544899389328</v>
      </c>
      <c r="R58">
        <f t="shared" si="11"/>
        <v>1237.6735761722682</v>
      </c>
      <c r="S58">
        <f t="shared" si="11"/>
        <v>1241.9224555735059</v>
      </c>
    </row>
    <row r="59" spans="1:19">
      <c r="A59" t="s">
        <v>49</v>
      </c>
      <c r="B59">
        <f>4907.76/B58</f>
        <v>4.6911784173913054</v>
      </c>
      <c r="C59">
        <f t="shared" ref="C59:S59" si="12">4907.76/C58</f>
        <v>5.3894673130434789</v>
      </c>
      <c r="D59">
        <f t="shared" si="12"/>
        <v>4.8501471652173915</v>
      </c>
      <c r="E59">
        <f t="shared" si="12"/>
        <v>4.7749304086956528</v>
      </c>
      <c r="F59">
        <f t="shared" si="12"/>
        <v>4.132925906614787</v>
      </c>
      <c r="G59">
        <f t="shared" si="12"/>
        <v>3.9992515097276273</v>
      </c>
      <c r="H59">
        <f t="shared" si="12"/>
        <v>3.9768133073929963</v>
      </c>
      <c r="I59">
        <f t="shared" si="12"/>
        <v>3.1294131128404672</v>
      </c>
      <c r="J59">
        <f t="shared" si="12"/>
        <v>4.5497035797665362</v>
      </c>
      <c r="K59">
        <f t="shared" si="12"/>
        <v>1.5028821478599217</v>
      </c>
      <c r="L59">
        <f t="shared" si="12"/>
        <v>1.5577841322957195</v>
      </c>
      <c r="N59">
        <f t="shared" si="12"/>
        <v>3.9744262645914397</v>
      </c>
      <c r="O59">
        <f t="shared" si="12"/>
        <v>3.9966236869565219</v>
      </c>
      <c r="P59">
        <f t="shared" si="12"/>
        <v>3.9625174439024393</v>
      </c>
      <c r="Q59">
        <f t="shared" si="12"/>
        <v>3.9856597268292684</v>
      </c>
      <c r="R59">
        <f t="shared" si="12"/>
        <v>3.9653104780487802</v>
      </c>
      <c r="S59">
        <f t="shared" si="12"/>
        <v>3.9517443121951215</v>
      </c>
    </row>
    <row r="60" spans="1:19">
      <c r="G60" t="s">
        <v>54</v>
      </c>
      <c r="K60" t="s">
        <v>58</v>
      </c>
      <c r="L60" t="s">
        <v>58</v>
      </c>
      <c r="M60" t="s">
        <v>58</v>
      </c>
    </row>
    <row r="69" spans="1:15">
      <c r="A69" t="s">
        <v>64</v>
      </c>
      <c r="N69">
        <v>1230</v>
      </c>
      <c r="O69" t="s">
        <v>74</v>
      </c>
    </row>
    <row r="70" spans="1:15">
      <c r="A70" t="s">
        <v>65</v>
      </c>
      <c r="N70">
        <f>N69*0.995</f>
        <v>1223.8499999999999</v>
      </c>
      <c r="O70" t="s">
        <v>75</v>
      </c>
    </row>
    <row r="71" spans="1:15">
      <c r="N71">
        <f>N70*0.995</f>
        <v>1217.7307499999999</v>
      </c>
      <c r="O71" t="s">
        <v>75</v>
      </c>
    </row>
    <row r="72" spans="1:15">
      <c r="A72" t="s">
        <v>62</v>
      </c>
      <c r="B72">
        <v>2.5</v>
      </c>
      <c r="N72">
        <f>N71*0.995</f>
        <v>1211.6420962499999</v>
      </c>
      <c r="O72" t="s">
        <v>75</v>
      </c>
    </row>
    <row r="73" spans="1:15">
      <c r="A73" t="s">
        <v>63</v>
      </c>
      <c r="B73">
        <v>137.5</v>
      </c>
      <c r="N73">
        <f>N72*0.995</f>
        <v>1205.58388576875</v>
      </c>
      <c r="O73" t="s">
        <v>75</v>
      </c>
    </row>
    <row r="74" spans="1:15">
      <c r="A74" t="s">
        <v>66</v>
      </c>
      <c r="B74">
        <v>7.1014699999999999</v>
      </c>
      <c r="N74">
        <v>1100</v>
      </c>
      <c r="O74" t="s">
        <v>76</v>
      </c>
    </row>
    <row r="75" spans="1:15">
      <c r="A75" t="s">
        <v>67</v>
      </c>
      <c r="B75">
        <v>12.23232</v>
      </c>
    </row>
    <row r="76" spans="1:15">
      <c r="A76" t="s">
        <v>68</v>
      </c>
      <c r="B76">
        <v>1200</v>
      </c>
    </row>
    <row r="77" spans="1:15">
      <c r="A77" t="s">
        <v>69</v>
      </c>
      <c r="B77">
        <f>B73-B72</f>
        <v>135</v>
      </c>
    </row>
    <row r="78" spans="1:15">
      <c r="A78" t="s">
        <v>70</v>
      </c>
      <c r="B78">
        <f>B77/B76</f>
        <v>0.1125</v>
      </c>
    </row>
    <row r="79" spans="1:15">
      <c r="A79" t="s">
        <v>71</v>
      </c>
      <c r="B79">
        <f>B78*60</f>
        <v>6.75</v>
      </c>
    </row>
    <row r="80" spans="1:15">
      <c r="A80" t="s">
        <v>72</v>
      </c>
      <c r="B80">
        <f>B75-B74</f>
        <v>5.1308499999999997</v>
      </c>
    </row>
    <row r="81" spans="1:2">
      <c r="A81" t="s">
        <v>73</v>
      </c>
      <c r="B81">
        <f>B80/B78</f>
        <v>45.60755555555555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7"/>
  <sheetViews>
    <sheetView tabSelected="1" workbookViewId="0">
      <selection activeCell="B27" sqref="B27"/>
    </sheetView>
  </sheetViews>
  <sheetFormatPr defaultRowHeight="14.5"/>
  <cols>
    <col min="4" max="5" width="20.90625" customWidth="1"/>
  </cols>
  <sheetData>
    <row r="2" spans="1:6">
      <c r="A2" t="s">
        <v>83</v>
      </c>
      <c r="B2">
        <v>1.75</v>
      </c>
      <c r="C2" t="s">
        <v>84</v>
      </c>
    </row>
    <row r="5" spans="1:6">
      <c r="B5" t="s">
        <v>82</v>
      </c>
      <c r="C5" t="s">
        <v>81</v>
      </c>
      <c r="D5" t="s">
        <v>86</v>
      </c>
      <c r="E5" t="s">
        <v>87</v>
      </c>
      <c r="F5" t="s">
        <v>85</v>
      </c>
    </row>
    <row r="6" spans="1:6">
      <c r="A6">
        <v>1</v>
      </c>
      <c r="B6">
        <f>10.5*10</f>
        <v>105</v>
      </c>
      <c r="C6">
        <v>0.32</v>
      </c>
      <c r="D6">
        <f>PI()*($B$2/2)^2*B6</f>
        <v>252.55459691749195</v>
      </c>
      <c r="E6" s="10">
        <f>B6/10*($B$2/20)^2*PI()</f>
        <v>0.25255459691749194</v>
      </c>
      <c r="F6">
        <f>C6/E6</f>
        <v>1.2670527636625917</v>
      </c>
    </row>
    <row r="7" spans="1:6">
      <c r="A7">
        <v>2</v>
      </c>
      <c r="B7">
        <v>99</v>
      </c>
      <c r="C7">
        <v>0.28999999999999998</v>
      </c>
      <c r="D7">
        <f>PI()*($B$2/2)^2*B7</f>
        <v>238.12290566506383</v>
      </c>
      <c r="E7" s="10">
        <f>B7/10*($B$2/20)^2*PI()</f>
        <v>0.23812290566506386</v>
      </c>
      <c r="F7">
        <f>C7/E7</f>
        <v>1.2178584802249339</v>
      </c>
    </row>
    <row r="8" spans="1:6">
      <c r="A8">
        <v>3</v>
      </c>
      <c r="B8">
        <v>100</v>
      </c>
      <c r="C8">
        <v>0.3</v>
      </c>
      <c r="D8">
        <f>PI()*($B$2/2)^2*B8</f>
        <v>240.52818754046851</v>
      </c>
      <c r="E8" s="10">
        <f>B8/10*($B$2/20)^2*PI()</f>
        <v>0.24052818754046851</v>
      </c>
      <c r="F8">
        <f>C8/E8</f>
        <v>1.2472550642303637</v>
      </c>
    </row>
    <row r="9" spans="1:6">
      <c r="F9">
        <f>SUM(C6:C8)/SUM(E6:E8)</f>
        <v>1.2445198557561739</v>
      </c>
    </row>
    <row r="11" spans="1:6">
      <c r="A11" t="s">
        <v>88</v>
      </c>
      <c r="B11">
        <f>1.7/4</f>
        <v>0.42499999999999999</v>
      </c>
      <c r="C11" t="s">
        <v>89</v>
      </c>
    </row>
    <row r="12" spans="1:6">
      <c r="B12">
        <f>5/4</f>
        <v>1.25</v>
      </c>
      <c r="C12" t="s">
        <v>90</v>
      </c>
    </row>
    <row r="13" spans="1:6">
      <c r="B13">
        <v>1.24</v>
      </c>
      <c r="C13" t="s">
        <v>95</v>
      </c>
    </row>
    <row r="15" spans="1:6">
      <c r="A15" t="s">
        <v>91</v>
      </c>
      <c r="B15" t="s">
        <v>92</v>
      </c>
      <c r="C15">
        <v>1</v>
      </c>
      <c r="D15" t="s">
        <v>93</v>
      </c>
    </row>
    <row r="16" spans="1:6">
      <c r="B16" t="s">
        <v>79</v>
      </c>
      <c r="C16" s="9">
        <f>C15/((B2/20)^2*PI())</f>
        <v>41.575168807678793</v>
      </c>
      <c r="D16" t="s">
        <v>94</v>
      </c>
    </row>
    <row r="17" spans="1:4">
      <c r="B17" t="s">
        <v>80</v>
      </c>
      <c r="C17">
        <f>C15*F9</f>
        <v>1.2445198557561739</v>
      </c>
    </row>
    <row r="20" spans="1:4">
      <c r="A20" t="s">
        <v>96</v>
      </c>
      <c r="C20">
        <v>1.22</v>
      </c>
      <c r="D20">
        <v>1.23</v>
      </c>
    </row>
    <row r="21" spans="1:4">
      <c r="A21" t="s">
        <v>97</v>
      </c>
      <c r="C21">
        <v>1.21</v>
      </c>
      <c r="D21">
        <v>1.21</v>
      </c>
    </row>
    <row r="22" spans="1:4">
      <c r="A22" t="s">
        <v>98</v>
      </c>
      <c r="C22">
        <v>1.24</v>
      </c>
      <c r="D22">
        <v>1.22</v>
      </c>
    </row>
    <row r="23" spans="1:4">
      <c r="A23" t="s">
        <v>99</v>
      </c>
      <c r="C23">
        <v>1.23</v>
      </c>
      <c r="D23">
        <v>1.22</v>
      </c>
    </row>
    <row r="24" spans="1:4">
      <c r="D24">
        <f>AVERAGE(D20:D23)</f>
        <v>1.22</v>
      </c>
    </row>
    <row r="26" spans="1:4">
      <c r="A26" t="s">
        <v>100</v>
      </c>
      <c r="B26">
        <v>630</v>
      </c>
      <c r="C26" t="s">
        <v>101</v>
      </c>
    </row>
    <row r="27" spans="1:4">
      <c r="A27" t="s">
        <v>102</v>
      </c>
      <c r="B27">
        <f>B26/D24*C17</f>
        <v>642.66189272654879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2017-10-05</vt:lpstr>
      <vt:lpstr>2017-10-07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jweob</dc:creator>
  <cp:lastModifiedBy>jweob</cp:lastModifiedBy>
  <dcterms:created xsi:type="dcterms:W3CDTF">2017-10-05T23:23:37Z</dcterms:created>
  <dcterms:modified xsi:type="dcterms:W3CDTF">2017-11-22T05:15:11Z</dcterms:modified>
</cp:coreProperties>
</file>