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VSROOT\ALS_(ambient_light_sensors)\Software\Workspaces.devel\Apps\LuxMeter\doc\"/>
    </mc:Choice>
  </mc:AlternateContent>
  <bookViews>
    <workbookView xWindow="0" yWindow="975" windowWidth="3510" windowHeight="8880" activeTab="2"/>
  </bookViews>
  <sheets>
    <sheet name="34-35 Calibration" sheetId="1" r:id="rId1"/>
    <sheet name="34-35 Calibration with Glass" sheetId="2" r:id="rId2"/>
    <sheet name="pseudo code" sheetId="3" r:id="rId3"/>
  </sheets>
  <calcPr calcId="152511"/>
</workbook>
</file>

<file path=xl/calcChain.xml><?xml version="1.0" encoding="utf-8"?>
<calcChain xmlns="http://schemas.openxmlformats.org/spreadsheetml/2006/main">
  <c r="C41" i="2" l="1"/>
  <c r="D37" i="2"/>
  <c r="C37" i="2"/>
  <c r="D31" i="2"/>
  <c r="D39" i="2" s="1"/>
  <c r="S26" i="2"/>
  <c r="M24" i="2"/>
  <c r="M23" i="2"/>
  <c r="J22" i="2"/>
  <c r="R21" i="2"/>
  <c r="S21" i="2" s="1"/>
  <c r="S23" i="2" s="1"/>
  <c r="S25" i="2" s="1"/>
  <c r="J21" i="2"/>
  <c r="J20" i="2"/>
  <c r="J19" i="2"/>
  <c r="E19" i="2"/>
  <c r="D19" i="2"/>
  <c r="J18" i="2"/>
  <c r="J17" i="2"/>
  <c r="E17" i="2"/>
  <c r="S16" i="2"/>
  <c r="S17" i="2" s="1"/>
  <c r="S19" i="2" s="1"/>
  <c r="J16" i="2"/>
  <c r="J15" i="2"/>
  <c r="H37" i="2" s="1"/>
  <c r="F15" i="2"/>
  <c r="E15" i="2"/>
  <c r="D15" i="2"/>
  <c r="L13" i="2"/>
  <c r="L15" i="2" s="1"/>
  <c r="L17" i="2" s="1"/>
  <c r="L19" i="2" s="1"/>
  <c r="L21" i="2" s="1"/>
  <c r="E13" i="2"/>
  <c r="E21" i="2" s="1"/>
  <c r="L11" i="2"/>
  <c r="E11" i="2"/>
  <c r="S10" i="2"/>
  <c r="J10" i="2"/>
  <c r="G10" i="2"/>
  <c r="G12" i="2" s="1"/>
  <c r="G14" i="2" s="1"/>
  <c r="G16" i="2" s="1"/>
  <c r="G18" i="2" s="1"/>
  <c r="G20" i="2" s="1"/>
  <c r="G22" i="2" s="1"/>
  <c r="L9" i="2"/>
  <c r="J9" i="2"/>
  <c r="G9" i="2"/>
  <c r="G11" i="2" s="1"/>
  <c r="G13" i="2" s="1"/>
  <c r="G15" i="2" s="1"/>
  <c r="G17" i="2" s="1"/>
  <c r="G19" i="2" s="1"/>
  <c r="G21" i="2" s="1"/>
  <c r="F9" i="2"/>
  <c r="F11" i="2" s="1"/>
  <c r="E9" i="2"/>
  <c r="L8" i="2"/>
  <c r="L10" i="2" s="1"/>
  <c r="L12" i="2" s="1"/>
  <c r="L14" i="2" s="1"/>
  <c r="L16" i="2" s="1"/>
  <c r="L18" i="2" s="1"/>
  <c r="L20" i="2" s="1"/>
  <c r="J8" i="2"/>
  <c r="R7" i="2"/>
  <c r="R12" i="2" s="1"/>
  <c r="J7" i="2"/>
  <c r="O6" i="2"/>
  <c r="O7" i="2" s="1"/>
  <c r="O8" i="2" s="1"/>
  <c r="O10" i="2" s="1"/>
  <c r="O11" i="2" s="1"/>
  <c r="O12" i="2" s="1"/>
  <c r="O13" i="2" s="1"/>
  <c r="S5" i="2"/>
  <c r="R5" i="2"/>
  <c r="R10" i="2" s="1"/>
  <c r="O5" i="2"/>
  <c r="L4" i="2"/>
  <c r="J22" i="1"/>
  <c r="J21" i="1"/>
  <c r="J20" i="1"/>
  <c r="J19" i="1"/>
  <c r="J18" i="1"/>
  <c r="J17" i="1"/>
  <c r="J16" i="1"/>
  <c r="J15" i="1"/>
  <c r="J8" i="1"/>
  <c r="J7" i="1"/>
  <c r="H29" i="1" s="1"/>
  <c r="S26" i="1"/>
  <c r="R21" i="1"/>
  <c r="S21" i="1" s="1"/>
  <c r="S23" i="1" s="1"/>
  <c r="S25" i="1" s="1"/>
  <c r="S16" i="1"/>
  <c r="S17" i="1" s="1"/>
  <c r="S19" i="1" s="1"/>
  <c r="D37" i="1"/>
  <c r="D31" i="1"/>
  <c r="D39" i="1" s="1"/>
  <c r="C41" i="1"/>
  <c r="C37" i="1"/>
  <c r="M24" i="1"/>
  <c r="M23" i="1"/>
  <c r="E43" i="1" l="1"/>
  <c r="E41" i="2"/>
  <c r="E39" i="2"/>
  <c r="M9" i="2"/>
  <c r="Q6" i="2" s="1"/>
  <c r="E29" i="2"/>
  <c r="M6" i="2"/>
  <c r="P5" i="2" s="1"/>
  <c r="M19" i="2"/>
  <c r="Q12" i="2" s="1"/>
  <c r="F13" i="2"/>
  <c r="J12" i="2"/>
  <c r="F19" i="2"/>
  <c r="J11" i="2"/>
  <c r="F17" i="2"/>
  <c r="M16" i="2" s="1"/>
  <c r="P8" i="2" s="1"/>
  <c r="M17" i="2"/>
  <c r="Q8" i="2" s="1"/>
  <c r="H29" i="2"/>
  <c r="E31" i="2"/>
  <c r="D33" i="2"/>
  <c r="E37" i="2"/>
  <c r="H41" i="2"/>
  <c r="E43" i="2"/>
  <c r="M7" i="2"/>
  <c r="Q5" i="2" s="1"/>
  <c r="M8" i="2"/>
  <c r="P6" i="2" s="1"/>
  <c r="P9" i="2" s="1" a="1"/>
  <c r="M15" i="2"/>
  <c r="Q7" i="2" s="1"/>
  <c r="M18" i="2"/>
  <c r="P12" i="2" s="1"/>
  <c r="H31" i="2"/>
  <c r="M14" i="2"/>
  <c r="P7" i="2" s="1"/>
  <c r="E37" i="1"/>
  <c r="E39" i="1"/>
  <c r="E41" i="1"/>
  <c r="E29" i="1"/>
  <c r="D33" i="1"/>
  <c r="D41" i="1" s="1"/>
  <c r="M7" i="1"/>
  <c r="Q5" i="1" s="1"/>
  <c r="M6" i="1"/>
  <c r="P5" i="1" s="1"/>
  <c r="S5" i="1"/>
  <c r="R7" i="1"/>
  <c r="R12" i="1" s="1"/>
  <c r="R5" i="1"/>
  <c r="R10" i="1" s="1"/>
  <c r="O5" i="1"/>
  <c r="O6" i="1" s="1"/>
  <c r="O7" i="1" s="1"/>
  <c r="O8" i="1" s="1"/>
  <c r="O10" i="1" s="1"/>
  <c r="O11" i="1" s="1"/>
  <c r="O12" i="1" s="1"/>
  <c r="O13" i="1" s="1"/>
  <c r="L4" i="1"/>
  <c r="D19" i="1"/>
  <c r="S10" i="1" s="1"/>
  <c r="D15" i="1"/>
  <c r="F15" i="1"/>
  <c r="H37" i="1" s="1"/>
  <c r="F9" i="1"/>
  <c r="L9" i="1"/>
  <c r="L11" i="1" s="1"/>
  <c r="L13" i="1" s="1"/>
  <c r="L15" i="1" s="1"/>
  <c r="L17" i="1" s="1"/>
  <c r="L19" i="1" s="1"/>
  <c r="L21" i="1" s="1"/>
  <c r="L8" i="1"/>
  <c r="L10" i="1" s="1"/>
  <c r="L12" i="1" s="1"/>
  <c r="L14" i="1" s="1"/>
  <c r="L16" i="1" s="1"/>
  <c r="L18" i="1" s="1"/>
  <c r="L20" i="1" s="1"/>
  <c r="E15" i="1"/>
  <c r="G10" i="1"/>
  <c r="G12" i="1" s="1"/>
  <c r="G14" i="1" s="1"/>
  <c r="G16" i="1" s="1"/>
  <c r="G18" i="1" s="1"/>
  <c r="G20" i="1" s="1"/>
  <c r="G22" i="1" s="1"/>
  <c r="G9" i="1"/>
  <c r="G11" i="1" s="1"/>
  <c r="G13" i="1" s="1"/>
  <c r="G15" i="1" s="1"/>
  <c r="G17" i="1" s="1"/>
  <c r="G19" i="1" s="1"/>
  <c r="G21" i="1" s="1"/>
  <c r="E9" i="1"/>
  <c r="E11" i="1" s="1"/>
  <c r="Q9" i="2" l="1"/>
  <c r="U6" i="2" s="1"/>
  <c r="P9" i="2"/>
  <c r="D35" i="2"/>
  <c r="D43" i="2" s="1"/>
  <c r="D41" i="2"/>
  <c r="E33" i="2"/>
  <c r="M11" i="2"/>
  <c r="Q10" i="2" s="1"/>
  <c r="M10" i="2"/>
  <c r="P10" i="2" s="1"/>
  <c r="H33" i="2"/>
  <c r="J13" i="2"/>
  <c r="F21" i="2"/>
  <c r="J14" i="2"/>
  <c r="H39" i="2"/>
  <c r="J10" i="1"/>
  <c r="J9" i="1"/>
  <c r="H31" i="1" s="1"/>
  <c r="M14" i="1"/>
  <c r="P7" i="1" s="1"/>
  <c r="E13" i="1"/>
  <c r="E21" i="1" s="1"/>
  <c r="E19" i="1"/>
  <c r="F17" i="1"/>
  <c r="F11" i="1"/>
  <c r="E17" i="1"/>
  <c r="M15" i="1"/>
  <c r="Q7" i="1" s="1"/>
  <c r="D35" i="1"/>
  <c r="D43" i="1" s="1"/>
  <c r="M9" i="1" l="1"/>
  <c r="Q6" i="1" s="1"/>
  <c r="M8" i="1"/>
  <c r="P6" i="1" s="1"/>
  <c r="E31" i="1"/>
  <c r="U7" i="2"/>
  <c r="G29" i="2" s="1"/>
  <c r="G37" i="2" s="1"/>
  <c r="M20" i="2"/>
  <c r="P13" i="2" s="1"/>
  <c r="M21" i="2"/>
  <c r="Q13" i="2" s="1"/>
  <c r="H43" i="2"/>
  <c r="H35" i="2"/>
  <c r="M12" i="2"/>
  <c r="P11" i="2" s="1"/>
  <c r="P14" i="2" s="1" a="1"/>
  <c r="M13" i="2"/>
  <c r="Q11" i="2" s="1"/>
  <c r="E35" i="2"/>
  <c r="F29" i="2"/>
  <c r="T5" i="2"/>
  <c r="J12" i="1"/>
  <c r="J11" i="1"/>
  <c r="H39" i="1"/>
  <c r="M17" i="1"/>
  <c r="M16" i="1"/>
  <c r="P8" i="1" s="1"/>
  <c r="F13" i="1"/>
  <c r="F19" i="1"/>
  <c r="E33" i="1" l="1"/>
  <c r="Q14" i="2"/>
  <c r="U11" i="2" s="1"/>
  <c r="P14" i="2"/>
  <c r="I31" i="2"/>
  <c r="J31" i="2" s="1"/>
  <c r="F37" i="2"/>
  <c r="I29" i="2"/>
  <c r="J29" i="2" s="1"/>
  <c r="M10" i="1"/>
  <c r="P10" i="1" s="1"/>
  <c r="J14" i="1"/>
  <c r="J13" i="1"/>
  <c r="M12" i="1" s="1"/>
  <c r="H33" i="1"/>
  <c r="M11" i="1"/>
  <c r="Q10" i="1" s="1"/>
  <c r="Q8" i="1"/>
  <c r="P9" i="1" s="1" a="1"/>
  <c r="H41" i="1"/>
  <c r="M19" i="1"/>
  <c r="M18" i="1"/>
  <c r="P12" i="1" s="1"/>
  <c r="F21" i="1"/>
  <c r="H35" i="1" l="1"/>
  <c r="M13" i="1"/>
  <c r="Q11" i="1" s="1"/>
  <c r="U12" i="2"/>
  <c r="G33" i="2" s="1"/>
  <c r="G41" i="2" s="1"/>
  <c r="I39" i="2"/>
  <c r="J39" i="2" s="1"/>
  <c r="I37" i="2"/>
  <c r="J37" i="2" s="1"/>
  <c r="F33" i="2"/>
  <c r="T10" i="2"/>
  <c r="E35" i="1"/>
  <c r="P9" i="1"/>
  <c r="Q9" i="1"/>
  <c r="U6" i="1" s="1"/>
  <c r="P11" i="1"/>
  <c r="Q12" i="1"/>
  <c r="H43" i="1"/>
  <c r="M20" i="1"/>
  <c r="P13" i="1" s="1"/>
  <c r="M21" i="1"/>
  <c r="F41" i="2" l="1"/>
  <c r="I35" i="2"/>
  <c r="J35" i="2" s="1"/>
  <c r="I33" i="2"/>
  <c r="J33" i="2" s="1"/>
  <c r="U7" i="1"/>
  <c r="G29" i="1" s="1"/>
  <c r="G37" i="1" s="1"/>
  <c r="F29" i="1"/>
  <c r="Q13" i="1"/>
  <c r="P14" i="1" s="1" a="1"/>
  <c r="I43" i="2" l="1"/>
  <c r="J43" i="2" s="1"/>
  <c r="I41" i="2"/>
  <c r="J41" i="2" s="1"/>
  <c r="K35" i="2" a="1"/>
  <c r="T5" i="1"/>
  <c r="I29" i="1"/>
  <c r="J29" i="1" s="1"/>
  <c r="F37" i="1"/>
  <c r="I31" i="1"/>
  <c r="J31" i="1" s="1"/>
  <c r="P14" i="1"/>
  <c r="Q14" i="1"/>
  <c r="U11" i="1" s="1"/>
  <c r="K35" i="2" l="1"/>
  <c r="I39" i="1"/>
  <c r="J39" i="1" s="1"/>
  <c r="I37" i="1"/>
  <c r="J37" i="1" s="1"/>
  <c r="U12" i="1"/>
  <c r="G33" i="1" s="1"/>
  <c r="G41" i="1" s="1"/>
  <c r="F33" i="1"/>
  <c r="T10" i="1" l="1"/>
  <c r="I35" i="1"/>
  <c r="J35" i="1" s="1"/>
  <c r="I33" i="1"/>
  <c r="J33" i="1" s="1"/>
  <c r="F41" i="1"/>
  <c r="I41" i="1" l="1"/>
  <c r="J41" i="1" s="1"/>
  <c r="K35" i="1" s="1" a="1"/>
  <c r="I43" i="1"/>
  <c r="J43" i="1" s="1"/>
  <c r="K35" i="1" l="1"/>
</calcChain>
</file>

<file path=xl/comments1.xml><?xml version="1.0" encoding="utf-8"?>
<comments xmlns="http://schemas.openxmlformats.org/spreadsheetml/2006/main">
  <authors>
    <author>jgetchel</author>
  </authors>
  <commentList>
    <comment ref="H5" authorId="0" shapeId="0">
      <text>
        <r>
          <rPr>
            <b/>
            <sz val="11"/>
            <color indexed="81"/>
            <rFont val="Tahoma"/>
            <family val="2"/>
          </rPr>
          <t>Use either one column or the other, not both</t>
        </r>
      </text>
    </comment>
  </commentList>
</comments>
</file>

<file path=xl/comments2.xml><?xml version="1.0" encoding="utf-8"?>
<comments xmlns="http://schemas.openxmlformats.org/spreadsheetml/2006/main">
  <authors>
    <author>jgetchel</author>
  </authors>
  <commentList>
    <comment ref="H5" authorId="0" shapeId="0">
      <text>
        <r>
          <rPr>
            <b/>
            <sz val="11"/>
            <color indexed="81"/>
            <rFont val="Tahoma"/>
            <family val="2"/>
          </rPr>
          <t>Use either one column or the other, not both</t>
        </r>
      </text>
    </comment>
  </commentList>
</comments>
</file>

<file path=xl/sharedStrings.xml><?xml version="1.0" encoding="utf-8"?>
<sst xmlns="http://schemas.openxmlformats.org/spreadsheetml/2006/main" count="170" uniqueCount="84">
  <si>
    <t>Range</t>
  </si>
  <si>
    <t>Comp</t>
  </si>
  <si>
    <t>OFF</t>
  </si>
  <si>
    <t>ON</t>
  </si>
  <si>
    <t>Light</t>
  </si>
  <si>
    <t>A</t>
  </si>
  <si>
    <t>CWF</t>
  </si>
  <si>
    <t>D1</t>
  </si>
  <si>
    <t>D2</t>
  </si>
  <si>
    <t>ADC</t>
  </si>
  <si>
    <t>Low</t>
  </si>
  <si>
    <t>High</t>
  </si>
  <si>
    <r>
      <t>Linest</t>
    </r>
    <r>
      <rPr>
        <sz val="11"/>
        <color theme="1"/>
        <rFont val="Calibri"/>
        <family val="2"/>
      </rPr>
      <t>→</t>
    </r>
  </si>
  <si>
    <t>R (D2/D1)</t>
  </si>
  <si>
    <r>
      <t>Scale = ADC/65535*FSR * Lux</t>
    </r>
    <r>
      <rPr>
        <vertAlign val="subscript"/>
        <sz val="11"/>
        <color theme="1"/>
        <rFont val="Calibri"/>
        <family val="2"/>
        <scheme val="minor"/>
      </rPr>
      <t>MEAS</t>
    </r>
    <r>
      <rPr>
        <sz val="11"/>
        <color theme="1"/>
        <rFont val="Calibri"/>
        <family val="2"/>
        <scheme val="minor"/>
      </rPr>
      <t>/Lux</t>
    </r>
    <r>
      <rPr>
        <vertAlign val="subscript"/>
        <sz val="11"/>
        <color theme="1"/>
        <rFont val="Calibri"/>
        <family val="2"/>
        <scheme val="minor"/>
      </rPr>
      <t>IDEAL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</si>
  <si>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Comp</t>
    </r>
    <r>
      <rPr>
        <vertAlign val="subscript"/>
        <sz val="11"/>
        <color theme="1"/>
        <rFont val="Calibri"/>
        <family val="2"/>
        <scheme val="minor"/>
      </rPr>
      <t>ON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</si>
  <si>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Comp</t>
    </r>
    <r>
      <rPr>
        <vertAlign val="subscript"/>
        <sz val="11"/>
        <color theme="1"/>
        <rFont val="Calibri"/>
        <family val="2"/>
        <scheme val="minor"/>
      </rPr>
      <t>ON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</si>
  <si>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Comp </t>
    </r>
    <r>
      <rPr>
        <vertAlign val="subscript"/>
        <sz val="11"/>
        <color theme="1"/>
        <rFont val="Calibri"/>
        <family val="2"/>
        <scheme val="minor"/>
      </rPr>
      <t>OFF</t>
    </r>
  </si>
  <si>
    <r>
      <t>C</t>
    </r>
    <r>
      <rPr>
        <vertAlign val="subscript"/>
        <sz val="11"/>
        <color theme="1"/>
        <rFont val="Calibri"/>
        <family val="2"/>
        <scheme val="minor"/>
      </rPr>
      <t>R0</t>
    </r>
  </si>
  <si>
    <r>
      <t>C</t>
    </r>
    <r>
      <rPr>
        <vertAlign val="subscript"/>
        <sz val="11"/>
        <color theme="1"/>
        <rFont val="Calibri"/>
        <family val="2"/>
        <scheme val="minor"/>
      </rPr>
      <t>R1</t>
    </r>
  </si>
  <si>
    <r>
      <t>C</t>
    </r>
    <r>
      <rPr>
        <vertAlign val="subscript"/>
        <sz val="11"/>
        <color theme="1"/>
        <rFont val="Calibri"/>
        <family val="2"/>
        <scheme val="minor"/>
      </rPr>
      <t>00</t>
    </r>
  </si>
  <si>
    <r>
      <t>C</t>
    </r>
    <r>
      <rPr>
        <vertAlign val="subscript"/>
        <sz val="11"/>
        <color theme="1"/>
        <rFont val="Calibri"/>
        <family val="2"/>
        <scheme val="minor"/>
      </rPr>
      <t>01</t>
    </r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</si>
  <si>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</si>
  <si>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</si>
  <si>
    <r>
      <t>Scale</t>
    </r>
    <r>
      <rPr>
        <vertAlign val="subscript"/>
        <sz val="11"/>
        <color theme="1"/>
        <rFont val="Calibri"/>
        <family val="2"/>
        <scheme val="minor"/>
      </rPr>
      <t>A</t>
    </r>
  </si>
  <si>
    <r>
      <t>Scale</t>
    </r>
    <r>
      <rPr>
        <vertAlign val="subscript"/>
        <sz val="11"/>
        <color theme="1"/>
        <rFont val="Calibri"/>
        <family val="2"/>
        <scheme val="minor"/>
      </rPr>
      <t>CWF</t>
    </r>
  </si>
  <si>
    <t>Error</t>
  </si>
  <si>
    <r>
      <t>Lux</t>
    </r>
    <r>
      <rPr>
        <vertAlign val="subscript"/>
        <sz val="11"/>
        <color theme="1"/>
        <rFont val="Calibri"/>
        <family val="2"/>
        <scheme val="minor"/>
      </rPr>
      <t>FS</t>
    </r>
  </si>
  <si>
    <t>↓</t>
  </si>
  <si>
    <r>
      <t>Lux</t>
    </r>
    <r>
      <rPr>
        <vertAlign val="subscript"/>
        <sz val="11"/>
        <color theme="1"/>
        <rFont val="Calibri"/>
        <family val="2"/>
        <scheme val="minor"/>
      </rPr>
      <t>SCALED</t>
    </r>
  </si>
  <si>
    <r>
      <t>Lux</t>
    </r>
    <r>
      <rPr>
        <vertAlign val="subscript"/>
        <sz val="11"/>
        <color theme="1"/>
        <rFont val="Calibri"/>
        <family val="2"/>
        <scheme val="minor"/>
      </rPr>
      <t>PRE</t>
    </r>
  </si>
  <si>
    <r>
      <t>Lux</t>
    </r>
    <r>
      <rPr>
        <vertAlign val="subscript"/>
        <sz val="11"/>
        <color theme="1"/>
        <rFont val="Calibri"/>
        <family val="2"/>
        <scheme val="minor"/>
      </rPr>
      <t>POST</t>
    </r>
  </si>
  <si>
    <r>
      <t>Lux</t>
    </r>
    <r>
      <rPr>
        <vertAlign val="subscript"/>
        <sz val="11"/>
        <color theme="1"/>
        <rFont val="Calibri"/>
        <family val="2"/>
      </rPr>
      <t>PRE</t>
    </r>
    <r>
      <rPr>
        <sz val="11"/>
        <color theme="1"/>
        <rFont val="Calibri"/>
        <family val="2"/>
      </rPr>
      <t xml:space="preserve"> = D1</t>
    </r>
    <r>
      <rPr>
        <vertAlign val="subscript"/>
        <sz val="11"/>
        <color theme="1"/>
        <rFont val="Calibri"/>
        <family val="2"/>
      </rPr>
      <t>ADC</t>
    </r>
    <r>
      <rPr>
        <sz val="11"/>
        <color theme="1"/>
        <rFont val="Calibri"/>
        <family val="2"/>
      </rPr>
      <t xml:space="preserve"> / 65535 * Lux</t>
    </r>
    <r>
      <rPr>
        <vertAlign val="subscript"/>
        <sz val="11"/>
        <color theme="1"/>
        <rFont val="Calibri"/>
        <family val="2"/>
      </rPr>
      <t>FS</t>
    </r>
  </si>
  <si>
    <r>
      <t>Lux</t>
    </r>
    <r>
      <rPr>
        <vertAlign val="subscript"/>
        <sz val="11"/>
        <color theme="1"/>
        <rFont val="Calibri"/>
        <family val="2"/>
        <scheme val="minor"/>
      </rPr>
      <t>IDEAL</t>
    </r>
  </si>
  <si>
    <r>
      <t>Lux</t>
    </r>
    <r>
      <rPr>
        <vertAlign val="subscript"/>
        <sz val="11"/>
        <color theme="1"/>
        <rFont val="Calibri"/>
        <family val="2"/>
        <scheme val="minor"/>
      </rPr>
      <t>MEAS</t>
    </r>
  </si>
  <si>
    <r>
      <t>Constants used for calculating Lux</t>
    </r>
    <r>
      <rPr>
        <vertAlign val="subscript"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(Low ranges: 1k &amp; 4k)</t>
    </r>
  </si>
  <si>
    <r>
      <t>Constants used for calculating Lux</t>
    </r>
    <r>
      <rPr>
        <vertAlign val="subscript"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(High ranges: 16k &amp; 64k)</t>
    </r>
  </si>
  <si>
    <r>
      <rPr>
        <sz val="11"/>
        <color theme="1"/>
        <rFont val="Calibri"/>
        <family val="2"/>
      </rPr>
      <t>← Lux</t>
    </r>
    <r>
      <rPr>
        <vertAlign val="subscript"/>
        <sz val="11"/>
        <color theme="1"/>
        <rFont val="Calibri"/>
        <family val="2"/>
      </rPr>
      <t>POST</t>
    </r>
    <r>
      <rPr>
        <sz val="11"/>
        <color theme="1"/>
        <rFont val="Calibri"/>
        <family val="2"/>
      </rPr>
      <t xml:space="preserve"> (Low ranges)</t>
    </r>
  </si>
  <si>
    <r>
      <t>← Lux</t>
    </r>
    <r>
      <rPr>
        <vertAlign val="subscript"/>
        <sz val="11"/>
        <color theme="1"/>
        <rFont val="Calibri"/>
        <family val="2"/>
      </rPr>
      <t>POST</t>
    </r>
    <r>
      <rPr>
        <sz val="11"/>
        <color theme="1"/>
        <rFont val="Calibri"/>
        <family val="2"/>
      </rPr>
      <t xml:space="preserve"> (High ranges)</t>
    </r>
  </si>
  <si>
    <t>← adjust for range</t>
  </si>
  <si>
    <t>← apply correction</t>
  </si>
  <si>
    <r>
      <rPr>
        <b/>
        <sz val="20"/>
        <color theme="1"/>
        <rFont val="Calibri"/>
        <family val="2"/>
      </rPr>
      <t xml:space="preserve">① </t>
    </r>
    <r>
      <rPr>
        <b/>
        <sz val="20"/>
        <color theme="1"/>
        <rFont val="Calibri"/>
        <family val="2"/>
        <scheme val="minor"/>
      </rPr>
      <t>Make Measurements</t>
    </r>
  </si>
  <si>
    <t>Scale for Calculations</t>
  </si>
  <si>
    <r>
      <rPr>
        <b/>
        <sz val="20"/>
        <color theme="1"/>
        <rFont val="Calibri"/>
        <family val="2"/>
      </rPr>
      <t xml:space="preserve">② </t>
    </r>
    <r>
      <rPr>
        <b/>
        <sz val="20"/>
        <color theme="1"/>
        <rFont val="Calibri"/>
        <family val="2"/>
        <scheme val="minor"/>
      </rPr>
      <t>Calulate Coefficients</t>
    </r>
  </si>
  <si>
    <r>
      <rPr>
        <b/>
        <sz val="20"/>
        <color theme="1"/>
        <rFont val="Calibri"/>
        <family val="2"/>
      </rPr>
      <t xml:space="preserve">③ </t>
    </r>
    <r>
      <rPr>
        <b/>
        <sz val="20"/>
        <color theme="1"/>
        <rFont val="Calibri"/>
        <family val="2"/>
        <scheme val="minor"/>
      </rPr>
      <t>Check Results</t>
    </r>
  </si>
  <si>
    <t>→</t>
  </si>
  <si>
    <r>
      <t>R =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(Comp</t>
    </r>
    <r>
      <rPr>
        <vertAlign val="subscript"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- Comp</t>
    </r>
    <r>
      <rPr>
        <vertAlign val="subscript"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)/Comp</t>
    </r>
    <r>
      <rPr>
        <vertAlign val="subscript"/>
        <sz val="11"/>
        <color theme="1"/>
        <rFont val="Calibri"/>
        <family val="2"/>
        <scheme val="minor"/>
      </rPr>
      <t>ON</t>
    </r>
  </si>
  <si>
    <t>Use 2 light sources, incandescent &amp; fluorescent (A &amp; CWF)</t>
  </si>
  <si>
    <t>adjust power level such that the unit(s) are near full scale with the compensation off, on the 1k Lux range.</t>
  </si>
  <si>
    <r>
      <t>Scale to a common lux level &amp; convert counts to "Lux" based on the range. Also express Comp</t>
    </r>
    <r>
      <rPr>
        <vertAlign val="subscript"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and Comp</t>
    </r>
    <r>
      <rPr>
        <vertAlign val="subscript"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as D1 &amp; D2 </t>
    </r>
  </si>
  <si>
    <r>
      <t>Calculate coefficients for D1 &amp; D2 such that Lux = K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D1+K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D2 using LINEST function</t>
    </r>
  </si>
  <si>
    <r>
      <t>Calculate C</t>
    </r>
    <r>
      <rPr>
        <vertAlign val="subscript"/>
        <sz val="11"/>
        <color theme="1"/>
        <rFont val="Calibri"/>
        <family val="2"/>
        <scheme val="minor"/>
      </rPr>
      <t>R0</t>
    </r>
    <r>
      <rPr>
        <sz val="11"/>
        <color theme="1"/>
        <rFont val="Calibri"/>
        <family val="2"/>
        <scheme val="minor"/>
      </rPr>
      <t xml:space="preserve"> and C</t>
    </r>
    <r>
      <rPr>
        <vertAlign val="subscript"/>
        <sz val="11"/>
        <color theme="1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 xml:space="preserve"> from K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&amp; 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results</t>
    </r>
  </si>
  <si>
    <r>
      <t>Check C</t>
    </r>
    <r>
      <rPr>
        <vertAlign val="subscript"/>
        <sz val="11"/>
        <color theme="1"/>
        <rFont val="Calibri"/>
        <family val="2"/>
        <scheme val="minor"/>
      </rPr>
      <t>R0</t>
    </r>
    <r>
      <rPr>
        <sz val="11"/>
        <color theme="1"/>
        <rFont val="Calibri"/>
        <family val="2"/>
        <scheme val="minor"/>
      </rPr>
      <t xml:space="preserve"> &amp; C</t>
    </r>
    <r>
      <rPr>
        <vertAlign val="subscript"/>
        <sz val="11"/>
        <color theme="1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 xml:space="preserve"> results to determine how well the results perform</t>
    </r>
  </si>
  <si>
    <r>
      <rPr>
        <sz val="11"/>
        <color theme="1"/>
        <rFont val="Calibri"/>
        <family val="2"/>
      </rPr>
      <t xml:space="preserve">↓ </t>
    </r>
    <r>
      <rPr>
        <sz val="11"/>
        <color theme="1"/>
        <rFont val="Calibri"/>
        <family val="2"/>
        <scheme val="minor"/>
      </rPr>
      <t>Lux</t>
    </r>
    <r>
      <rPr>
        <vertAlign val="subscript"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>R0</t>
    </r>
    <r>
      <rPr>
        <sz val="11"/>
        <color theme="1"/>
        <rFont val="Calibri"/>
        <family val="2"/>
        <scheme val="minor"/>
      </rPr>
      <t xml:space="preserve"> * Lux</t>
    </r>
    <r>
      <rPr>
        <vertAlign val="subscript"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 xml:space="preserve"> * ( 1 + C</t>
    </r>
    <r>
      <rPr>
        <vertAlign val="subscript"/>
        <sz val="11"/>
        <color theme="1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 xml:space="preserve"> * R )</t>
    </r>
  </si>
  <si>
    <t>Lux</t>
  </si>
  <si>
    <t>Input (Lux or LSBs)</t>
  </si>
  <si>
    <r>
      <t xml:space="preserve">record source Lux value &amp; adc "counts" or Lux with comp on/off on all 4 ranges. Use either Lux or Counts </t>
    </r>
    <r>
      <rPr>
        <b/>
        <sz val="11"/>
        <color theme="1"/>
        <rFont val="Calibri"/>
        <family val="2"/>
        <scheme val="minor"/>
      </rPr>
      <t>NOT BOTH</t>
    </r>
  </si>
  <si>
    <t>"Counts"</t>
  </si>
  <si>
    <t>// Polled measure loop</t>
  </si>
  <si>
    <t>value = als.dGetLux</t>
  </si>
  <si>
    <t xml:space="preserve">    </t>
  </si>
  <si>
    <t>If sampleCount = compSampleCount Then                     ' measuring D1-D2</t>
  </si>
  <si>
    <t xml:space="preserve">    setComp False ' next measurement is D1</t>
  </si>
  <si>
    <t xml:space="preserve">    d2d1Ratio = (lastLux - value) / lastLux</t>
  </si>
  <si>
    <t>Else                                                      ' measuring D1</t>
  </si>
  <si>
    <t xml:space="preserve">    If sampleCount = 0 Then setComp True ' next measurement is D1-D2</t>
  </si>
  <si>
    <t xml:space="preserve">    lastLux = value</t>
  </si>
  <si>
    <t>End If</t>
  </si>
  <si>
    <t>If rangeN &gt; 1 Then                                ' correction</t>
  </si>
  <si>
    <t xml:space="preserve">    value = C10 * (lastLux * (1 + d2d1Ratio * C11))</t>
  </si>
  <si>
    <t>Else</t>
  </si>
  <si>
    <t xml:space="preserve">    value = C00 * (lastLux * (1 + d2d1Ratio * C01))</t>
  </si>
  <si>
    <t>If sampleCount &gt; 0 Then</t>
  </si>
  <si>
    <t xml:space="preserve">    sampleCount = sampleCount - 1</t>
  </si>
  <si>
    <t xml:space="preserve">    sampleCount = compSampleCount</t>
  </si>
  <si>
    <t>// END Polled measure loop</t>
  </si>
  <si>
    <t>t_status Cisl29035::setIRcomp       (const uw  x)</t>
  </si>
  <si>
    <t>{</t>
  </si>
  <si>
    <t>m_pIO-&gt;write(0x0e,(uc)0x89); // enter test mode</t>
  </si>
  <si>
    <t>compSet=0x80*(x==0);</t>
  </si>
  <si>
    <t>m_pIO-&gt;write(0x08,compSet); // comp off</t>
  </si>
  <si>
    <t>m_pIO-&gt;write(0x0e,(uc)0x00); // exit test mode</t>
  </si>
  <si>
    <t>return ok;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</si>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</sst>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48"/>
      <color theme="1"/>
      <name val="Calibri"/>
      <family val="2"/>
    </font>
    <font>
      <b/>
      <sz val="48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1"/>
      <name val="Tahoma"/>
      <family val="2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164" fontId="0" fillId="0" borderId="11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" fontId="0" fillId="0" borderId="9" xfId="0" applyNumberFormat="1" applyFill="1" applyBorder="1" applyAlignment="1">
      <alignment horizontal="center" vertical="center"/>
    </xf>
    <xf numFmtId="1" fontId="0" fillId="0" borderId="12" xfId="0" applyNumberForma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164" fontId="0" fillId="2" borderId="32" xfId="0" applyNumberFormat="1" applyFill="1" applyBorder="1" applyAlignment="1">
      <alignment horizontal="center" vertical="center"/>
    </xf>
    <xf numFmtId="164" fontId="0" fillId="2" borderId="30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1" fillId="0" borderId="0" xfId="0" applyFont="1"/>
    <xf numFmtId="0" fontId="0" fillId="0" borderId="3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" fontId="0" fillId="0" borderId="37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4" borderId="15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4" borderId="23" xfId="0" applyFont="1" applyFill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0" fontId="0" fillId="4" borderId="4" xfId="0" applyFill="1" applyBorder="1" applyAlignment="1">
      <alignment horizontal="center" vertical="center"/>
    </xf>
    <xf numFmtId="10" fontId="8" fillId="0" borderId="25" xfId="0" applyNumberFormat="1" applyFont="1" applyBorder="1" applyAlignment="1">
      <alignment horizontal="center" vertical="center"/>
    </xf>
    <xf numFmtId="10" fontId="8" fillId="0" borderId="18" xfId="0" applyNumberFormat="1" applyFont="1" applyBorder="1" applyAlignment="1">
      <alignment horizontal="center" vertical="center"/>
    </xf>
    <xf numFmtId="10" fontId="8" fillId="0" borderId="26" xfId="0" applyNumberFormat="1" applyFont="1" applyBorder="1" applyAlignment="1">
      <alignment horizontal="center" vertical="center"/>
    </xf>
    <xf numFmtId="10" fontId="8" fillId="0" borderId="27" xfId="0" applyNumberFormat="1" applyFont="1" applyBorder="1" applyAlignment="1">
      <alignment horizontal="center" vertical="center"/>
    </xf>
    <xf numFmtId="10" fontId="8" fillId="0" borderId="0" xfId="0" applyNumberFormat="1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0" fontId="8" fillId="0" borderId="28" xfId="0" applyNumberFormat="1" applyFont="1" applyBorder="1" applyAlignment="1">
      <alignment horizontal="center" vertical="center"/>
    </xf>
    <xf numFmtId="10" fontId="8" fillId="0" borderId="2" xfId="0" applyNumberFormat="1" applyFont="1" applyBorder="1" applyAlignment="1">
      <alignment horizontal="center" vertical="center"/>
    </xf>
    <xf numFmtId="10" fontId="8" fillId="0" borderId="3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Y69"/>
  <sheetViews>
    <sheetView showGridLines="0" zoomScale="70" zoomScaleNormal="70" workbookViewId="0">
      <selection activeCell="P17" sqref="P17"/>
    </sheetView>
  </sheetViews>
  <sheetFormatPr defaultColWidth="9.7109375" defaultRowHeight="18" customHeight="1" x14ac:dyDescent="0.25"/>
  <cols>
    <col min="1" max="9" width="9.7109375" style="2"/>
    <col min="10" max="10" width="9.7109375" style="1"/>
    <col min="11" max="16384" width="9.7109375" style="2"/>
  </cols>
  <sheetData>
    <row r="2" spans="2:25" ht="18" customHeight="1" thickBot="1" x14ac:dyDescent="0.3"/>
    <row r="3" spans="2:25" ht="18" customHeight="1" x14ac:dyDescent="0.25">
      <c r="B3" s="88" t="s">
        <v>41</v>
      </c>
      <c r="C3" s="89"/>
      <c r="D3" s="89"/>
      <c r="E3" s="89"/>
      <c r="F3" s="89"/>
      <c r="G3" s="89"/>
      <c r="H3" s="96"/>
      <c r="I3" s="96"/>
      <c r="J3" s="90"/>
      <c r="K3" s="116" t="s">
        <v>45</v>
      </c>
      <c r="L3" s="80" t="s">
        <v>42</v>
      </c>
      <c r="M3" s="99"/>
      <c r="N3" s="116" t="s">
        <v>45</v>
      </c>
      <c r="O3" s="80"/>
      <c r="P3" s="82"/>
      <c r="Q3" s="82"/>
      <c r="R3" s="88" t="s">
        <v>43</v>
      </c>
      <c r="S3" s="89"/>
      <c r="T3" s="89"/>
      <c r="U3" s="89"/>
      <c r="V3" s="89"/>
      <c r="W3" s="89"/>
      <c r="X3" s="89"/>
      <c r="Y3" s="90"/>
    </row>
    <row r="4" spans="2:25" ht="18" customHeight="1" thickBot="1" x14ac:dyDescent="0.3">
      <c r="B4" s="91"/>
      <c r="C4" s="92"/>
      <c r="D4" s="92"/>
      <c r="E4" s="92"/>
      <c r="F4" s="92"/>
      <c r="G4" s="92"/>
      <c r="H4" s="97"/>
      <c r="I4" s="97"/>
      <c r="J4" s="93"/>
      <c r="K4" s="117"/>
      <c r="L4" s="83" t="str">
        <f>"Scaled to "&amp;M22&amp;" Lux"</f>
        <v>Scaled to 300 Lux</v>
      </c>
      <c r="M4" s="95"/>
      <c r="N4" s="117"/>
      <c r="O4" s="17"/>
      <c r="P4" s="18" t="s">
        <v>7</v>
      </c>
      <c r="Q4" s="18" t="s">
        <v>8</v>
      </c>
      <c r="R4" s="91"/>
      <c r="S4" s="92"/>
      <c r="T4" s="92"/>
      <c r="U4" s="92"/>
      <c r="V4" s="92"/>
      <c r="W4" s="92"/>
      <c r="X4" s="92"/>
      <c r="Y4" s="93"/>
    </row>
    <row r="5" spans="2:25" ht="18" customHeight="1" x14ac:dyDescent="0.25">
      <c r="B5" s="98"/>
      <c r="C5" s="56" t="s">
        <v>4</v>
      </c>
      <c r="D5" s="58" t="s">
        <v>0</v>
      </c>
      <c r="E5" s="59"/>
      <c r="F5" s="56" t="s">
        <v>27</v>
      </c>
      <c r="G5" s="56" t="s">
        <v>1</v>
      </c>
      <c r="H5" s="62" t="s">
        <v>55</v>
      </c>
      <c r="I5" s="63"/>
      <c r="J5" s="64" t="s">
        <v>9</v>
      </c>
      <c r="K5" s="117"/>
      <c r="L5" s="4"/>
      <c r="M5" s="9" t="s">
        <v>29</v>
      </c>
      <c r="N5" s="117"/>
      <c r="O5" s="20">
        <f>M22</f>
        <v>300</v>
      </c>
      <c r="P5" s="21">
        <f>M6</f>
        <v>247.19130031866763</v>
      </c>
      <c r="Q5" s="22">
        <f>M7</f>
        <v>85.486121612139129</v>
      </c>
      <c r="R5" s="57" t="str">
        <f>C7</f>
        <v>A</v>
      </c>
      <c r="S5" s="57" t="str">
        <f>D7</f>
        <v>Low</v>
      </c>
      <c r="T5" s="57" t="str">
        <f>"Lux=("&amp;ROUND(U6,2)&amp;")*D1*(1 + ("&amp;ROUND(U7,2)&amp;")*R )"</f>
        <v>Lux=(1.13)*D1*(1 + (0.19)*R )</v>
      </c>
      <c r="U5" s="57"/>
      <c r="V5" s="57"/>
      <c r="W5" s="102" t="s">
        <v>37</v>
      </c>
      <c r="X5" s="57"/>
      <c r="Y5" s="103"/>
    </row>
    <row r="6" spans="2:25" ht="18" customHeight="1" x14ac:dyDescent="0.25">
      <c r="B6" s="98"/>
      <c r="C6" s="57"/>
      <c r="D6" s="60"/>
      <c r="E6" s="61"/>
      <c r="F6" s="57"/>
      <c r="G6" s="57"/>
      <c r="H6" s="31" t="s">
        <v>54</v>
      </c>
      <c r="I6" s="31" t="s">
        <v>57</v>
      </c>
      <c r="J6" s="65"/>
      <c r="K6" s="117"/>
      <c r="L6" s="4" t="s">
        <v>7</v>
      </c>
      <c r="M6" s="10">
        <f>J7/65535*F7*M$23</f>
        <v>247.19130031866763</v>
      </c>
      <c r="N6" s="117"/>
      <c r="O6" s="4">
        <f>O5</f>
        <v>300</v>
      </c>
      <c r="P6" s="8">
        <f>M8</f>
        <v>251.96318320025378</v>
      </c>
      <c r="Q6" s="10">
        <f>M9</f>
        <v>88.75799247906599</v>
      </c>
      <c r="R6" s="66"/>
      <c r="S6" s="66"/>
      <c r="T6" s="13" t="s">
        <v>20</v>
      </c>
      <c r="U6" s="14">
        <f>Q9</f>
        <v>1.1281202608862082</v>
      </c>
      <c r="V6" s="100" t="s">
        <v>35</v>
      </c>
      <c r="W6" s="100"/>
      <c r="X6" s="100"/>
      <c r="Y6" s="101"/>
    </row>
    <row r="7" spans="2:25" ht="18" customHeight="1" x14ac:dyDescent="0.25">
      <c r="B7" s="83"/>
      <c r="C7" s="66" t="s">
        <v>5</v>
      </c>
      <c r="D7" s="66" t="s">
        <v>10</v>
      </c>
      <c r="E7" s="66">
        <v>0</v>
      </c>
      <c r="F7" s="66">
        <v>1000</v>
      </c>
      <c r="G7" s="3" t="s">
        <v>2</v>
      </c>
      <c r="H7" s="36">
        <v>777</v>
      </c>
      <c r="I7" s="34"/>
      <c r="J7" s="32">
        <f>IF(I7&lt;&gt;"",I7,ROUND(H7/F7*65535,0))</f>
        <v>50921</v>
      </c>
      <c r="K7" s="117"/>
      <c r="L7" s="4" t="s">
        <v>8</v>
      </c>
      <c r="M7" s="10">
        <f>(J7-J8)/65535*F7*M$23</f>
        <v>85.486121612139129</v>
      </c>
      <c r="N7" s="117"/>
      <c r="O7" s="4">
        <f t="shared" ref="O7:O13" si="0">O6</f>
        <v>300</v>
      </c>
      <c r="P7" s="8">
        <f>M14</f>
        <v>259.25575007851302</v>
      </c>
      <c r="Q7" s="10">
        <f>M15</f>
        <v>22.04538317000857</v>
      </c>
      <c r="R7" s="66" t="str">
        <f>C15</f>
        <v>CWF</v>
      </c>
      <c r="S7" s="66"/>
      <c r="T7" s="13" t="s">
        <v>21</v>
      </c>
      <c r="U7" s="14">
        <f>P9/U6</f>
        <v>0.18698774578489605</v>
      </c>
      <c r="V7" s="100"/>
      <c r="W7" s="100"/>
      <c r="X7" s="100"/>
      <c r="Y7" s="101"/>
    </row>
    <row r="8" spans="2:25" ht="18" customHeight="1" x14ac:dyDescent="0.25">
      <c r="B8" s="83"/>
      <c r="C8" s="66"/>
      <c r="D8" s="66"/>
      <c r="E8" s="66"/>
      <c r="F8" s="66"/>
      <c r="G8" s="3" t="s">
        <v>3</v>
      </c>
      <c r="H8" s="36">
        <v>508.3</v>
      </c>
      <c r="I8" s="34"/>
      <c r="J8" s="32">
        <f>IF(I8&lt;&gt;"",I8,ROUND(H8/F7*65535,0))</f>
        <v>33311</v>
      </c>
      <c r="K8" s="117"/>
      <c r="L8" s="4" t="str">
        <f t="shared" ref="L8:L21" si="1">L6</f>
        <v>D1</v>
      </c>
      <c r="M8" s="10">
        <f>J9/65535*F9*M$23</f>
        <v>251.96318320025378</v>
      </c>
      <c r="N8" s="117"/>
      <c r="O8" s="4">
        <f t="shared" si="0"/>
        <v>300</v>
      </c>
      <c r="P8" s="8">
        <f>M16</f>
        <v>264.27206481180832</v>
      </c>
      <c r="Q8" s="10">
        <f>M17</f>
        <v>22.603224621673846</v>
      </c>
      <c r="R8" s="66"/>
      <c r="S8" s="66"/>
      <c r="T8" s="66"/>
      <c r="U8" s="66"/>
      <c r="V8" s="66"/>
      <c r="W8" s="66"/>
      <c r="X8" s="66"/>
      <c r="Y8" s="95"/>
    </row>
    <row r="9" spans="2:25" ht="18" customHeight="1" thickBot="1" x14ac:dyDescent="0.3">
      <c r="B9" s="83"/>
      <c r="C9" s="66"/>
      <c r="D9" s="66"/>
      <c r="E9" s="66">
        <f>E7+1</f>
        <v>1</v>
      </c>
      <c r="F9" s="66">
        <f>F7*4</f>
        <v>4000</v>
      </c>
      <c r="G9" s="3" t="str">
        <f t="shared" ref="G9:G22" si="2">G7</f>
        <v>OFF</v>
      </c>
      <c r="H9" s="36">
        <v>792</v>
      </c>
      <c r="I9" s="34"/>
      <c r="J9" s="32">
        <f t="shared" ref="J9" si="3">IF(I9&lt;&gt;"",I9,ROUND(H9/F9*65535,0))</f>
        <v>12976</v>
      </c>
      <c r="K9" s="117"/>
      <c r="L9" s="4" t="str">
        <f t="shared" si="1"/>
        <v>D2</v>
      </c>
      <c r="M9" s="10">
        <f>(J9-J10)/65535*F9*M$23</f>
        <v>88.75799247906599</v>
      </c>
      <c r="N9" s="117"/>
      <c r="O9" s="15" t="s">
        <v>12</v>
      </c>
      <c r="P9" s="16">
        <f t="array" ref="P9:Q9">LINEST(O5:O8,P5:Q8,FALSE)</f>
        <v>0.21094466455738092</v>
      </c>
      <c r="Q9" s="23">
        <v>1.1281202608862082</v>
      </c>
      <c r="R9" s="66"/>
      <c r="S9" s="66"/>
      <c r="T9" s="66"/>
      <c r="U9" s="66"/>
      <c r="V9" s="66"/>
      <c r="W9" s="66"/>
      <c r="X9" s="66"/>
      <c r="Y9" s="95"/>
    </row>
    <row r="10" spans="2:25" ht="18" customHeight="1" x14ac:dyDescent="0.25">
      <c r="B10" s="83"/>
      <c r="C10" s="66"/>
      <c r="D10" s="66"/>
      <c r="E10" s="66"/>
      <c r="F10" s="66"/>
      <c r="G10" s="3" t="str">
        <f t="shared" si="2"/>
        <v>ON</v>
      </c>
      <c r="H10" s="36">
        <v>513</v>
      </c>
      <c r="I10" s="34"/>
      <c r="J10" s="32">
        <f t="shared" ref="J10" si="4">IF(I10&lt;&gt;"",I10,ROUND(H10/F9*65535,0))</f>
        <v>8405</v>
      </c>
      <c r="K10" s="117"/>
      <c r="L10" s="4" t="str">
        <f t="shared" si="1"/>
        <v>D1</v>
      </c>
      <c r="M10" s="10">
        <f>J11/65535*F11*M$23</f>
        <v>273.24490705872154</v>
      </c>
      <c r="N10" s="117"/>
      <c r="O10" s="20">
        <f>O8</f>
        <v>300</v>
      </c>
      <c r="P10" s="21">
        <f>M10</f>
        <v>273.24490705872154</v>
      </c>
      <c r="Q10" s="22">
        <f>M11</f>
        <v>140.58365030593691</v>
      </c>
      <c r="R10" s="66" t="str">
        <f>R5</f>
        <v>A</v>
      </c>
      <c r="S10" s="66" t="str">
        <f>D19</f>
        <v>High</v>
      </c>
      <c r="T10" s="66" t="str">
        <f>"Lux=("&amp;ROUND(U11,2)&amp;")*D1*(1 + ("&amp;ROUND(U12,2)&amp;")*R )"</f>
        <v>Lux=(1.08)*D1*(1 + (0.04)*R )</v>
      </c>
      <c r="U10" s="66"/>
      <c r="V10" s="66"/>
      <c r="W10" s="94" t="s">
        <v>38</v>
      </c>
      <c r="X10" s="66"/>
      <c r="Y10" s="95"/>
    </row>
    <row r="11" spans="2:25" ht="18" customHeight="1" x14ac:dyDescent="0.25">
      <c r="B11" s="83"/>
      <c r="C11" s="66"/>
      <c r="D11" s="66" t="s">
        <v>11</v>
      </c>
      <c r="E11" s="66">
        <f>E9+1</f>
        <v>2</v>
      </c>
      <c r="F11" s="66">
        <f>F9*4</f>
        <v>16000</v>
      </c>
      <c r="G11" s="3" t="str">
        <f t="shared" si="2"/>
        <v>OFF</v>
      </c>
      <c r="H11" s="36">
        <v>859</v>
      </c>
      <c r="I11" s="34"/>
      <c r="J11" s="32">
        <f t="shared" ref="J11" si="5">IF(I11&lt;&gt;"",I11,ROUND(H11/F11*65535,0))</f>
        <v>3518</v>
      </c>
      <c r="K11" s="117"/>
      <c r="L11" s="4" t="str">
        <f t="shared" si="1"/>
        <v>D2</v>
      </c>
      <c r="M11" s="10">
        <f>(J11-J12)/65535*F11*M$23</f>
        <v>140.58365030593691</v>
      </c>
      <c r="N11" s="117"/>
      <c r="O11" s="4">
        <f t="shared" si="0"/>
        <v>300</v>
      </c>
      <c r="P11" s="8">
        <f>M12</f>
        <v>273.08956600865974</v>
      </c>
      <c r="Q11" s="10">
        <f>M13</f>
        <v>140.42830925587509</v>
      </c>
      <c r="R11" s="66"/>
      <c r="S11" s="66"/>
      <c r="T11" s="13" t="s">
        <v>22</v>
      </c>
      <c r="U11" s="14">
        <f>Q14</f>
        <v>1.0759360433113891</v>
      </c>
      <c r="V11" s="100" t="s">
        <v>36</v>
      </c>
      <c r="W11" s="100"/>
      <c r="X11" s="100"/>
      <c r="Y11" s="101"/>
    </row>
    <row r="12" spans="2:25" ht="18" customHeight="1" x14ac:dyDescent="0.25">
      <c r="B12" s="83"/>
      <c r="C12" s="66"/>
      <c r="D12" s="66"/>
      <c r="E12" s="66"/>
      <c r="F12" s="66"/>
      <c r="G12" s="3" t="str">
        <f t="shared" si="2"/>
        <v>ON</v>
      </c>
      <c r="H12" s="36">
        <v>417</v>
      </c>
      <c r="I12" s="34"/>
      <c r="J12" s="32">
        <f t="shared" ref="J12" si="6">IF(I12&lt;&gt;"",I12,ROUND(H12/F11*65535,0))</f>
        <v>1708</v>
      </c>
      <c r="K12" s="117"/>
      <c r="L12" s="4" t="str">
        <f t="shared" si="1"/>
        <v>D1</v>
      </c>
      <c r="M12" s="10">
        <f>J13/65535*F13*M$23</f>
        <v>273.08956600865974</v>
      </c>
      <c r="N12" s="117"/>
      <c r="O12" s="4">
        <f t="shared" si="0"/>
        <v>300</v>
      </c>
      <c r="P12" s="8">
        <f>M18</f>
        <v>278.80149254525804</v>
      </c>
      <c r="Q12" s="10">
        <f>M19</f>
        <v>4.224265038564516</v>
      </c>
      <c r="R12" s="66" t="str">
        <f>R7</f>
        <v>CWF</v>
      </c>
      <c r="S12" s="66"/>
      <c r="T12" s="13" t="s">
        <v>23</v>
      </c>
      <c r="U12" s="14">
        <f>P14/U11</f>
        <v>4.0279326131638142E-2</v>
      </c>
      <c r="V12" s="100"/>
      <c r="W12" s="100"/>
      <c r="X12" s="100"/>
      <c r="Y12" s="101"/>
    </row>
    <row r="13" spans="2:25" ht="18" customHeight="1" x14ac:dyDescent="0.25">
      <c r="B13" s="83"/>
      <c r="C13" s="66"/>
      <c r="D13" s="66"/>
      <c r="E13" s="66">
        <f>E11+1</f>
        <v>3</v>
      </c>
      <c r="F13" s="66">
        <f>F11*4</f>
        <v>64000</v>
      </c>
      <c r="G13" s="3" t="str">
        <f t="shared" si="2"/>
        <v>OFF</v>
      </c>
      <c r="H13" s="36">
        <v>858</v>
      </c>
      <c r="I13" s="34"/>
      <c r="J13" s="32">
        <f t="shared" ref="J13" si="7">IF(I13&lt;&gt;"",I13,ROUND(H13/F13*65535,0))</f>
        <v>879</v>
      </c>
      <c r="K13" s="117"/>
      <c r="L13" s="4" t="str">
        <f t="shared" si="1"/>
        <v>D2</v>
      </c>
      <c r="M13" s="10">
        <f>(J13-J14)/65535*F13*M$23</f>
        <v>140.42830925587509</v>
      </c>
      <c r="N13" s="117"/>
      <c r="O13" s="4">
        <f t="shared" si="0"/>
        <v>300</v>
      </c>
      <c r="P13" s="8">
        <f>M20</f>
        <v>278.52895931696361</v>
      </c>
      <c r="Q13" s="10">
        <f>M21</f>
        <v>3.8154651961227888</v>
      </c>
      <c r="R13" s="66"/>
      <c r="S13" s="66"/>
      <c r="T13" s="66"/>
      <c r="U13" s="66"/>
      <c r="V13" s="66"/>
      <c r="W13" s="66"/>
      <c r="X13" s="66"/>
      <c r="Y13" s="95"/>
    </row>
    <row r="14" spans="2:25" ht="18" customHeight="1" thickBot="1" x14ac:dyDescent="0.3">
      <c r="B14" s="4" t="s">
        <v>34</v>
      </c>
      <c r="C14" s="29">
        <v>943</v>
      </c>
      <c r="D14" s="66"/>
      <c r="E14" s="66"/>
      <c r="F14" s="66"/>
      <c r="G14" s="3" t="str">
        <f t="shared" si="2"/>
        <v>ON</v>
      </c>
      <c r="H14" s="36">
        <v>417</v>
      </c>
      <c r="I14" s="34"/>
      <c r="J14" s="32">
        <f t="shared" ref="J14" si="8">IF(I14&lt;&gt;"",I14,ROUND(H14/F13*65535,0))</f>
        <v>427</v>
      </c>
      <c r="K14" s="117"/>
      <c r="L14" s="4" t="str">
        <f t="shared" si="1"/>
        <v>D1</v>
      </c>
      <c r="M14" s="10">
        <f>J15/65535*F15*M$24</f>
        <v>259.25575007851302</v>
      </c>
      <c r="N14" s="117"/>
      <c r="O14" s="15" t="s">
        <v>12</v>
      </c>
      <c r="P14" s="16">
        <f t="array" ref="P14:Q14">LINEST(O10:O13,P10:Q13,FALSE)</f>
        <v>4.3337978785323784E-2</v>
      </c>
      <c r="Q14" s="23">
        <v>1.0759360433113891</v>
      </c>
      <c r="R14" s="118"/>
      <c r="S14" s="118"/>
      <c r="T14" s="118"/>
      <c r="U14" s="118"/>
      <c r="V14" s="118"/>
      <c r="W14" s="118"/>
      <c r="X14" s="118"/>
      <c r="Y14" s="119"/>
    </row>
    <row r="15" spans="2:25" ht="18" customHeight="1" thickBot="1" x14ac:dyDescent="0.3">
      <c r="B15" s="83"/>
      <c r="C15" s="66" t="s">
        <v>6</v>
      </c>
      <c r="D15" s="66" t="str">
        <f>D7</f>
        <v>Low</v>
      </c>
      <c r="E15" s="66">
        <f>E7</f>
        <v>0</v>
      </c>
      <c r="F15" s="66">
        <f>F7</f>
        <v>1000</v>
      </c>
      <c r="G15" s="3" t="str">
        <f t="shared" si="2"/>
        <v>OFF</v>
      </c>
      <c r="H15" s="36">
        <v>929</v>
      </c>
      <c r="I15" s="34"/>
      <c r="J15" s="32">
        <f t="shared" ref="J15" si="9">IF(I15&lt;&gt;"",I15,ROUND(H15/F15*65535,0))</f>
        <v>60882</v>
      </c>
      <c r="K15" s="117"/>
      <c r="L15" s="4" t="str">
        <f t="shared" si="1"/>
        <v>D2</v>
      </c>
      <c r="M15" s="10">
        <f>(J15-J16)/65535*F15*M$24</f>
        <v>22.04538317000857</v>
      </c>
    </row>
    <row r="16" spans="2:25" ht="18" customHeight="1" x14ac:dyDescent="0.25">
      <c r="B16" s="83"/>
      <c r="C16" s="66"/>
      <c r="D16" s="66"/>
      <c r="E16" s="66"/>
      <c r="F16" s="66"/>
      <c r="G16" s="3" t="str">
        <f t="shared" si="2"/>
        <v>ON</v>
      </c>
      <c r="H16" s="36">
        <v>850</v>
      </c>
      <c r="I16" s="34"/>
      <c r="J16" s="32">
        <f t="shared" ref="J16" si="10">IF(I16&lt;&gt;"",I16,ROUND(H16/F15*65535,0))</f>
        <v>55705</v>
      </c>
      <c r="K16" s="117"/>
      <c r="L16" s="4" t="str">
        <f t="shared" si="1"/>
        <v>D1</v>
      </c>
      <c r="M16" s="10">
        <f>J17/65535*F17*M$24</f>
        <v>264.27206481180832</v>
      </c>
      <c r="R16" s="80">
        <v>1</v>
      </c>
      <c r="S16" s="24">
        <f>R16+0.1</f>
        <v>1.1000000000000001</v>
      </c>
      <c r="T16" s="121" t="s">
        <v>47</v>
      </c>
      <c r="U16" s="121"/>
      <c r="V16" s="121"/>
      <c r="W16" s="121"/>
      <c r="X16" s="121"/>
      <c r="Y16" s="122"/>
    </row>
    <row r="17" spans="2:25" ht="18" customHeight="1" x14ac:dyDescent="0.25">
      <c r="B17" s="83"/>
      <c r="C17" s="66"/>
      <c r="D17" s="66"/>
      <c r="E17" s="66">
        <f>E9</f>
        <v>1</v>
      </c>
      <c r="F17" s="66">
        <f>F9</f>
        <v>4000</v>
      </c>
      <c r="G17" s="3" t="str">
        <f t="shared" si="2"/>
        <v>OFF</v>
      </c>
      <c r="H17" s="36">
        <v>947</v>
      </c>
      <c r="I17" s="34"/>
      <c r="J17" s="32">
        <f t="shared" ref="J17" si="11">IF(I17&lt;&gt;"",I17,ROUND(H17/F17*65535,0))</f>
        <v>15515</v>
      </c>
      <c r="K17" s="117"/>
      <c r="L17" s="4" t="str">
        <f t="shared" si="1"/>
        <v>D2</v>
      </c>
      <c r="M17" s="10">
        <f>(J17-J18)/65535*F17*M$24</f>
        <v>22.603224621673846</v>
      </c>
      <c r="R17" s="83"/>
      <c r="S17" s="66">
        <f>S16+0.1</f>
        <v>1.2000000000000002</v>
      </c>
      <c r="T17" s="100" t="s">
        <v>48</v>
      </c>
      <c r="U17" s="100"/>
      <c r="V17" s="100"/>
      <c r="W17" s="100"/>
      <c r="X17" s="100"/>
      <c r="Y17" s="101"/>
    </row>
    <row r="18" spans="2:25" ht="18" customHeight="1" x14ac:dyDescent="0.25">
      <c r="B18" s="83"/>
      <c r="C18" s="66"/>
      <c r="D18" s="66"/>
      <c r="E18" s="66"/>
      <c r="F18" s="66"/>
      <c r="G18" s="3" t="str">
        <f t="shared" si="2"/>
        <v>ON</v>
      </c>
      <c r="H18" s="36">
        <v>866</v>
      </c>
      <c r="I18" s="34"/>
      <c r="J18" s="32">
        <f t="shared" ref="J18" si="12">IF(I18&lt;&gt;"",I18,ROUND(H18/F17*65535,0))</f>
        <v>14188</v>
      </c>
      <c r="K18" s="117"/>
      <c r="L18" s="4" t="str">
        <f t="shared" si="1"/>
        <v>D1</v>
      </c>
      <c r="M18" s="10">
        <f>J19/65535*F19*M$24</f>
        <v>278.80149254525804</v>
      </c>
      <c r="R18" s="83"/>
      <c r="S18" s="66"/>
      <c r="T18" s="100"/>
      <c r="U18" s="100"/>
      <c r="V18" s="100"/>
      <c r="W18" s="100"/>
      <c r="X18" s="100"/>
      <c r="Y18" s="101"/>
    </row>
    <row r="19" spans="2:25" ht="18" customHeight="1" x14ac:dyDescent="0.25">
      <c r="B19" s="83"/>
      <c r="C19" s="66"/>
      <c r="D19" s="66" t="str">
        <f>D11</f>
        <v>High</v>
      </c>
      <c r="E19" s="66">
        <f>E11</f>
        <v>2</v>
      </c>
      <c r="F19" s="66">
        <f>F11</f>
        <v>16000</v>
      </c>
      <c r="G19" s="3" t="str">
        <f t="shared" si="2"/>
        <v>OFF</v>
      </c>
      <c r="H19" s="36">
        <v>999</v>
      </c>
      <c r="I19" s="34"/>
      <c r="J19" s="32">
        <f t="shared" ref="J19" si="13">IF(I19&lt;&gt;"",I19,ROUND(H19/F19*65535,0))</f>
        <v>4092</v>
      </c>
      <c r="K19" s="117"/>
      <c r="L19" s="4" t="str">
        <f t="shared" si="1"/>
        <v>D2</v>
      </c>
      <c r="M19" s="10">
        <f>(J19-J20)/65535*F19*M$24</f>
        <v>4.224265038564516</v>
      </c>
      <c r="R19" s="83"/>
      <c r="S19" s="127">
        <f>S17+0.1</f>
        <v>1.3000000000000003</v>
      </c>
      <c r="T19" s="123" t="s">
        <v>56</v>
      </c>
      <c r="U19" s="123"/>
      <c r="V19" s="123"/>
      <c r="W19" s="123"/>
      <c r="X19" s="123"/>
      <c r="Y19" s="124"/>
    </row>
    <row r="20" spans="2:25" ht="18" customHeight="1" thickBot="1" x14ac:dyDescent="0.3">
      <c r="B20" s="83"/>
      <c r="C20" s="66"/>
      <c r="D20" s="66"/>
      <c r="E20" s="66"/>
      <c r="F20" s="66"/>
      <c r="G20" s="3" t="str">
        <f t="shared" si="2"/>
        <v>ON</v>
      </c>
      <c r="H20" s="36">
        <v>984</v>
      </c>
      <c r="I20" s="34"/>
      <c r="J20" s="32">
        <f t="shared" ref="J20" si="14">IF(I20&lt;&gt;"",I20,ROUND(H20/F19*65535,0))</f>
        <v>4030</v>
      </c>
      <c r="K20" s="117"/>
      <c r="L20" s="4" t="str">
        <f t="shared" si="1"/>
        <v>D1</v>
      </c>
      <c r="M20" s="10">
        <f>J21/65535*F21*M$24</f>
        <v>278.52895931696361</v>
      </c>
      <c r="R20" s="84"/>
      <c r="S20" s="128"/>
      <c r="T20" s="125"/>
      <c r="U20" s="125"/>
      <c r="V20" s="125"/>
      <c r="W20" s="125"/>
      <c r="X20" s="125"/>
      <c r="Y20" s="126"/>
    </row>
    <row r="21" spans="2:25" ht="18" customHeight="1" x14ac:dyDescent="0.25">
      <c r="B21" s="83"/>
      <c r="C21" s="66"/>
      <c r="D21" s="66"/>
      <c r="E21" s="66">
        <f>E13</f>
        <v>3</v>
      </c>
      <c r="F21" s="66">
        <f>F13</f>
        <v>64000</v>
      </c>
      <c r="G21" s="3" t="str">
        <f t="shared" si="2"/>
        <v>OFF</v>
      </c>
      <c r="H21" s="36">
        <v>998</v>
      </c>
      <c r="I21" s="34"/>
      <c r="J21" s="32">
        <f t="shared" ref="J21" si="15">IF(I21&lt;&gt;"",I21,ROUND(H21/F21*65535,0))</f>
        <v>1022</v>
      </c>
      <c r="K21" s="117"/>
      <c r="L21" s="4" t="str">
        <f t="shared" si="1"/>
        <v>D2</v>
      </c>
      <c r="M21" s="10">
        <f>(J21-J22)/65535*F21*M$24</f>
        <v>3.8154651961227888</v>
      </c>
      <c r="R21" s="80">
        <f>R16+1</f>
        <v>2</v>
      </c>
      <c r="S21" s="82">
        <f>R21+0.1</f>
        <v>2.1</v>
      </c>
      <c r="T21" s="76" t="s">
        <v>49</v>
      </c>
      <c r="U21" s="76"/>
      <c r="V21" s="76"/>
      <c r="W21" s="76"/>
      <c r="X21" s="76"/>
      <c r="Y21" s="77"/>
    </row>
    <row r="22" spans="2:25" ht="18" customHeight="1" thickBot="1" x14ac:dyDescent="0.3">
      <c r="B22" s="28" t="s">
        <v>34</v>
      </c>
      <c r="C22" s="6">
        <v>1075</v>
      </c>
      <c r="D22" s="71"/>
      <c r="E22" s="71"/>
      <c r="F22" s="71"/>
      <c r="G22" s="7" t="str">
        <f t="shared" si="2"/>
        <v>ON</v>
      </c>
      <c r="H22" s="37">
        <v>984</v>
      </c>
      <c r="I22" s="35"/>
      <c r="J22" s="33">
        <f t="shared" ref="J22" si="16">IF(I22&lt;&gt;"",I22,ROUND(H22/F21*65535,0))</f>
        <v>1008</v>
      </c>
      <c r="L22" s="4" t="s">
        <v>33</v>
      </c>
      <c r="M22" s="9">
        <v>300</v>
      </c>
      <c r="R22" s="83"/>
      <c r="S22" s="66"/>
      <c r="T22" s="100"/>
      <c r="U22" s="100"/>
      <c r="V22" s="100"/>
      <c r="W22" s="100"/>
      <c r="X22" s="100"/>
      <c r="Y22" s="101"/>
    </row>
    <row r="23" spans="2:25" ht="18" customHeight="1" x14ac:dyDescent="0.25">
      <c r="L23" s="4" t="s">
        <v>24</v>
      </c>
      <c r="M23" s="11">
        <f>M22/C14</f>
        <v>0.31813361611876989</v>
      </c>
      <c r="R23" s="83"/>
      <c r="S23" s="66">
        <f>S21+0.1</f>
        <v>2.2000000000000002</v>
      </c>
      <c r="T23" s="100" t="s">
        <v>50</v>
      </c>
      <c r="U23" s="100"/>
      <c r="V23" s="100"/>
      <c r="W23" s="100"/>
      <c r="X23" s="100"/>
      <c r="Y23" s="101"/>
    </row>
    <row r="24" spans="2:25" ht="18" customHeight="1" thickBot="1" x14ac:dyDescent="0.3">
      <c r="L24" s="5" t="s">
        <v>25</v>
      </c>
      <c r="M24" s="12">
        <f>M22/C22</f>
        <v>0.27906976744186046</v>
      </c>
      <c r="R24" s="83"/>
      <c r="S24" s="66"/>
      <c r="T24" s="100"/>
      <c r="U24" s="100"/>
      <c r="V24" s="100"/>
      <c r="W24" s="100"/>
      <c r="X24" s="100"/>
      <c r="Y24" s="101"/>
    </row>
    <row r="25" spans="2:25" ht="18" customHeight="1" thickBot="1" x14ac:dyDescent="0.3">
      <c r="R25" s="84"/>
      <c r="S25" s="30">
        <f>S23+0.1</f>
        <v>2.3000000000000003</v>
      </c>
      <c r="T25" s="74" t="s">
        <v>51</v>
      </c>
      <c r="U25" s="74"/>
      <c r="V25" s="74"/>
      <c r="W25" s="74"/>
      <c r="X25" s="74"/>
      <c r="Y25" s="75"/>
    </row>
    <row r="26" spans="2:25" ht="18" customHeight="1" x14ac:dyDescent="0.25">
      <c r="B26" s="88" t="s">
        <v>44</v>
      </c>
      <c r="C26" s="89"/>
      <c r="D26" s="89"/>
      <c r="E26" s="89"/>
      <c r="F26" s="89"/>
      <c r="G26" s="90"/>
      <c r="H26" s="104" t="s">
        <v>32</v>
      </c>
      <c r="I26" s="105"/>
      <c r="J26" s="105"/>
      <c r="K26" s="120" t="s">
        <v>39</v>
      </c>
      <c r="L26" s="82"/>
      <c r="M26" s="24"/>
      <c r="N26" s="25"/>
      <c r="R26" s="80">
        <v>3</v>
      </c>
      <c r="S26" s="82">
        <f>R26+0.1</f>
        <v>3.1</v>
      </c>
      <c r="T26" s="76" t="s">
        <v>52</v>
      </c>
      <c r="U26" s="76"/>
      <c r="V26" s="76"/>
      <c r="W26" s="76"/>
      <c r="X26" s="76"/>
      <c r="Y26" s="77"/>
    </row>
    <row r="27" spans="2:25" ht="18" customHeight="1" thickBot="1" x14ac:dyDescent="0.3">
      <c r="B27" s="91"/>
      <c r="C27" s="92"/>
      <c r="D27" s="92"/>
      <c r="E27" s="92"/>
      <c r="F27" s="92"/>
      <c r="G27" s="93"/>
      <c r="H27" s="27" t="s">
        <v>28</v>
      </c>
      <c r="I27" s="106" t="s">
        <v>53</v>
      </c>
      <c r="J27" s="106"/>
      <c r="K27" s="106"/>
      <c r="L27" s="106"/>
      <c r="M27" s="94" t="s">
        <v>40</v>
      </c>
      <c r="N27" s="95"/>
      <c r="R27" s="81"/>
      <c r="S27" s="71"/>
      <c r="T27" s="78"/>
      <c r="U27" s="78"/>
      <c r="V27" s="78"/>
      <c r="W27" s="78"/>
      <c r="X27" s="78"/>
      <c r="Y27" s="79"/>
    </row>
    <row r="28" spans="2:25" ht="18" customHeight="1" x14ac:dyDescent="0.25">
      <c r="B28" s="19" t="s">
        <v>4</v>
      </c>
      <c r="C28" s="57" t="s">
        <v>0</v>
      </c>
      <c r="D28" s="57"/>
      <c r="E28" s="26" t="s">
        <v>13</v>
      </c>
      <c r="F28" s="26" t="s">
        <v>18</v>
      </c>
      <c r="G28" s="26" t="s">
        <v>19</v>
      </c>
      <c r="H28" s="3" t="s">
        <v>30</v>
      </c>
      <c r="I28" s="3" t="s">
        <v>31</v>
      </c>
      <c r="J28" s="3" t="s">
        <v>26</v>
      </c>
      <c r="K28" s="66"/>
      <c r="L28" s="66"/>
      <c r="M28" s="66"/>
      <c r="N28" s="95"/>
    </row>
    <row r="29" spans="2:25" ht="18" customHeight="1" x14ac:dyDescent="0.25">
      <c r="B29" s="83" t="s">
        <v>5</v>
      </c>
      <c r="C29" s="66" t="s">
        <v>10</v>
      </c>
      <c r="D29" s="66">
        <v>0</v>
      </c>
      <c r="E29" s="72">
        <f>(J7-J8)/J7</f>
        <v>0.34582981481117808</v>
      </c>
      <c r="F29" s="85">
        <f>$U$6</f>
        <v>1.1281202608862082</v>
      </c>
      <c r="G29" s="85">
        <f>$U$7</f>
        <v>0.18698774578489605</v>
      </c>
      <c r="H29" s="86">
        <f>J7/65535*F7</f>
        <v>777.00465400167855</v>
      </c>
      <c r="I29" s="86">
        <f>F29*H29*(1+G29*E29)</f>
        <v>933.23792397103978</v>
      </c>
      <c r="J29" s="72">
        <f>I29/$C$14-1</f>
        <v>-1.0352148493064872E-2</v>
      </c>
      <c r="K29" s="66"/>
      <c r="L29" s="66"/>
      <c r="M29" s="66"/>
      <c r="N29" s="95"/>
      <c r="P29" s="38"/>
    </row>
    <row r="30" spans="2:25" ht="18" customHeight="1" x14ac:dyDescent="0.25">
      <c r="B30" s="83"/>
      <c r="C30" s="66"/>
      <c r="D30" s="66"/>
      <c r="E30" s="72"/>
      <c r="F30" s="66"/>
      <c r="G30" s="66"/>
      <c r="H30" s="86"/>
      <c r="I30" s="86"/>
      <c r="J30" s="72"/>
      <c r="K30" s="69" t="s">
        <v>17</v>
      </c>
      <c r="L30" s="69"/>
      <c r="M30" s="69"/>
      <c r="N30" s="70"/>
      <c r="P30" s="38"/>
    </row>
    <row r="31" spans="2:25" ht="18" customHeight="1" x14ac:dyDescent="0.25">
      <c r="B31" s="83"/>
      <c r="C31" s="66"/>
      <c r="D31" s="66">
        <f>D29+1</f>
        <v>1</v>
      </c>
      <c r="E31" s="72">
        <f>(J9-J10)/J9</f>
        <v>0.35226572133168926</v>
      </c>
      <c r="F31" s="66"/>
      <c r="G31" s="66"/>
      <c r="H31" s="86">
        <f>J9/65535*F9</f>
        <v>792.00427252613099</v>
      </c>
      <c r="I31" s="86">
        <f>F29*H31*(1+G29*E31)</f>
        <v>952.32877497222694</v>
      </c>
      <c r="J31" s="72">
        <f>I31/$C$14-1</f>
        <v>9.8926563862427042E-3</v>
      </c>
      <c r="K31" s="67" t="s">
        <v>15</v>
      </c>
      <c r="L31" s="67"/>
      <c r="M31" s="67"/>
      <c r="N31" s="68"/>
      <c r="P31" s="38"/>
    </row>
    <row r="32" spans="2:25" ht="18" customHeight="1" x14ac:dyDescent="0.25">
      <c r="B32" s="83"/>
      <c r="C32" s="66"/>
      <c r="D32" s="66"/>
      <c r="E32" s="72"/>
      <c r="F32" s="66"/>
      <c r="G32" s="66"/>
      <c r="H32" s="86"/>
      <c r="I32" s="86"/>
      <c r="J32" s="72"/>
      <c r="K32" s="69" t="s">
        <v>16</v>
      </c>
      <c r="L32" s="69"/>
      <c r="M32" s="69"/>
      <c r="N32" s="70"/>
      <c r="P32" s="38"/>
    </row>
    <row r="33" spans="2:16" ht="18" customHeight="1" x14ac:dyDescent="0.25">
      <c r="B33" s="83"/>
      <c r="C33" s="66" t="s">
        <v>11</v>
      </c>
      <c r="D33" s="66">
        <f>D31+1</f>
        <v>2</v>
      </c>
      <c r="E33" s="72">
        <f>(J11-J12)/J11</f>
        <v>0.51449687322342241</v>
      </c>
      <c r="F33" s="85">
        <f>$U$11</f>
        <v>1.0759360433113891</v>
      </c>
      <c r="G33" s="85">
        <f>$U$12</f>
        <v>4.0279326131638142E-2</v>
      </c>
      <c r="H33" s="86">
        <f>J11/65535*F11</f>
        <v>858.89982452124809</v>
      </c>
      <c r="I33" s="86">
        <f>F33*H33*(1+G33*E33)</f>
        <v>943.27238683961912</v>
      </c>
      <c r="J33" s="72">
        <f>I33/$C$14-1</f>
        <v>2.8885136757073049E-4</v>
      </c>
      <c r="K33" s="69" t="s">
        <v>46</v>
      </c>
      <c r="L33" s="69"/>
      <c r="M33" s="69"/>
      <c r="N33" s="70"/>
      <c r="P33" s="38"/>
    </row>
    <row r="34" spans="2:16" ht="18" customHeight="1" x14ac:dyDescent="0.25">
      <c r="B34" s="83"/>
      <c r="C34" s="66"/>
      <c r="D34" s="66"/>
      <c r="E34" s="72"/>
      <c r="F34" s="66"/>
      <c r="G34" s="66"/>
      <c r="H34" s="86"/>
      <c r="I34" s="86"/>
      <c r="J34" s="72"/>
      <c r="K34" s="67" t="s">
        <v>14</v>
      </c>
      <c r="L34" s="67"/>
      <c r="M34" s="67"/>
      <c r="N34" s="68"/>
      <c r="P34" s="38"/>
    </row>
    <row r="35" spans="2:16" ht="18" customHeight="1" x14ac:dyDescent="0.25">
      <c r="B35" s="83"/>
      <c r="C35" s="66"/>
      <c r="D35" s="66">
        <f>D33+1</f>
        <v>3</v>
      </c>
      <c r="E35" s="72">
        <f>(J13-J14)/J13</f>
        <v>0.51422070534698516</v>
      </c>
      <c r="F35" s="66"/>
      <c r="G35" s="66"/>
      <c r="H35" s="86">
        <f>J13/65535*F13</f>
        <v>858.41153582055381</v>
      </c>
      <c r="I35" s="86">
        <f>F33*H35*(1+G33*E35)</f>
        <v>942.7258579816488</v>
      </c>
      <c r="J35" s="72">
        <f>I35/$C$14-1</f>
        <v>-2.9071263876057074E-4</v>
      </c>
      <c r="K35" s="107">
        <f t="array" ref="K35">MAX(ABS(J29:J44))</f>
        <v>1.0352148493064872E-2</v>
      </c>
      <c r="L35" s="108"/>
      <c r="M35" s="108"/>
      <c r="N35" s="109"/>
      <c r="P35" s="38"/>
    </row>
    <row r="36" spans="2:16" ht="18" customHeight="1" x14ac:dyDescent="0.25">
      <c r="B36" s="83"/>
      <c r="C36" s="66"/>
      <c r="D36" s="66"/>
      <c r="E36" s="72"/>
      <c r="F36" s="66"/>
      <c r="G36" s="66"/>
      <c r="H36" s="86"/>
      <c r="I36" s="86"/>
      <c r="J36" s="72"/>
      <c r="K36" s="110"/>
      <c r="L36" s="111"/>
      <c r="M36" s="111"/>
      <c r="N36" s="112"/>
      <c r="P36" s="38"/>
    </row>
    <row r="37" spans="2:16" ht="18" customHeight="1" x14ac:dyDescent="0.25">
      <c r="B37" s="83" t="s">
        <v>6</v>
      </c>
      <c r="C37" s="66" t="str">
        <f>C29</f>
        <v>Low</v>
      </c>
      <c r="D37" s="66">
        <f>D29</f>
        <v>0</v>
      </c>
      <c r="E37" s="72">
        <f>(J15-J16)/J15</f>
        <v>8.5033343188462923E-2</v>
      </c>
      <c r="F37" s="85">
        <f>F29</f>
        <v>1.1281202608862082</v>
      </c>
      <c r="G37" s="85">
        <f>G29</f>
        <v>0.18698774578489605</v>
      </c>
      <c r="H37" s="86">
        <f>J15/65535*F15</f>
        <v>928.9997711146716</v>
      </c>
      <c r="I37" s="86">
        <f>F37*H37*(1+G37*E37)</f>
        <v>1064.6872396686913</v>
      </c>
      <c r="J37" s="72">
        <f>I37/$C$22-1</f>
        <v>-9.5932654244732518E-3</v>
      </c>
      <c r="K37" s="110"/>
      <c r="L37" s="111"/>
      <c r="M37" s="111"/>
      <c r="N37" s="112"/>
      <c r="P37" s="38"/>
    </row>
    <row r="38" spans="2:16" ht="18" customHeight="1" x14ac:dyDescent="0.25">
      <c r="B38" s="83"/>
      <c r="C38" s="66"/>
      <c r="D38" s="66"/>
      <c r="E38" s="72"/>
      <c r="F38" s="66"/>
      <c r="G38" s="66"/>
      <c r="H38" s="86"/>
      <c r="I38" s="86"/>
      <c r="J38" s="72"/>
      <c r="K38" s="110"/>
      <c r="L38" s="111"/>
      <c r="M38" s="111"/>
      <c r="N38" s="112"/>
      <c r="P38" s="38"/>
    </row>
    <row r="39" spans="2:16" ht="18" customHeight="1" x14ac:dyDescent="0.25">
      <c r="B39" s="83"/>
      <c r="C39" s="66"/>
      <c r="D39" s="66">
        <f>D31</f>
        <v>1</v>
      </c>
      <c r="E39" s="72">
        <f>(J17-J18)/J17</f>
        <v>8.5530132130196584E-2</v>
      </c>
      <c r="F39" s="66"/>
      <c r="G39" s="66"/>
      <c r="H39" s="86">
        <f>J17/65535*F17</f>
        <v>946.97489890897987</v>
      </c>
      <c r="I39" s="86">
        <f>F37*H39*(1+G37*E39)</f>
        <v>1085.3870095379361</v>
      </c>
      <c r="J39" s="72">
        <f>I39/$C$22-1</f>
        <v>9.6623344538939726E-3</v>
      </c>
      <c r="K39" s="110"/>
      <c r="L39" s="111"/>
      <c r="M39" s="111"/>
      <c r="N39" s="112"/>
      <c r="P39" s="38"/>
    </row>
    <row r="40" spans="2:16" ht="18" customHeight="1" x14ac:dyDescent="0.25">
      <c r="B40" s="83"/>
      <c r="C40" s="66"/>
      <c r="D40" s="66"/>
      <c r="E40" s="72"/>
      <c r="F40" s="66"/>
      <c r="G40" s="66"/>
      <c r="H40" s="86"/>
      <c r="I40" s="86"/>
      <c r="J40" s="72"/>
      <c r="K40" s="110"/>
      <c r="L40" s="111"/>
      <c r="M40" s="111"/>
      <c r="N40" s="112"/>
      <c r="P40" s="38"/>
    </row>
    <row r="41" spans="2:16" ht="18" customHeight="1" x14ac:dyDescent="0.25">
      <c r="B41" s="83"/>
      <c r="C41" s="66" t="str">
        <f>C33</f>
        <v>High</v>
      </c>
      <c r="D41" s="66">
        <f>D33</f>
        <v>2</v>
      </c>
      <c r="E41" s="72">
        <f>(J19-J20)/J19</f>
        <v>1.5151515151515152E-2</v>
      </c>
      <c r="F41" s="85">
        <f>F33</f>
        <v>1.0759360433113891</v>
      </c>
      <c r="G41" s="85">
        <f>G33</f>
        <v>4.0279326131638142E-2</v>
      </c>
      <c r="H41" s="86">
        <f>J19/65535*F19</f>
        <v>999.0386816205081</v>
      </c>
      <c r="I41" s="86">
        <f>F41*H41*(1+G41*E41)</f>
        <v>1075.557731023702</v>
      </c>
      <c r="J41" s="72">
        <f>I41/$C$22-1</f>
        <v>5.1881955693211523E-4</v>
      </c>
      <c r="K41" s="110"/>
      <c r="L41" s="111"/>
      <c r="M41" s="111"/>
      <c r="N41" s="112"/>
      <c r="P41" s="38"/>
    </row>
    <row r="42" spans="2:16" ht="18" customHeight="1" x14ac:dyDescent="0.25">
      <c r="B42" s="83"/>
      <c r="C42" s="66"/>
      <c r="D42" s="66"/>
      <c r="E42" s="72"/>
      <c r="F42" s="66"/>
      <c r="G42" s="66"/>
      <c r="H42" s="86"/>
      <c r="I42" s="86"/>
      <c r="J42" s="72"/>
      <c r="K42" s="110"/>
      <c r="L42" s="111"/>
      <c r="M42" s="111"/>
      <c r="N42" s="112"/>
      <c r="P42" s="38"/>
    </row>
    <row r="43" spans="2:16" ht="18" customHeight="1" x14ac:dyDescent="0.25">
      <c r="B43" s="83"/>
      <c r="C43" s="66"/>
      <c r="D43" s="66">
        <f>D35</f>
        <v>3</v>
      </c>
      <c r="E43" s="72">
        <f>(J21-J22)/J21</f>
        <v>1.3698630136986301E-2</v>
      </c>
      <c r="F43" s="66"/>
      <c r="G43" s="66"/>
      <c r="H43" s="86">
        <f>J21/65535*F21</f>
        <v>998.06210421911953</v>
      </c>
      <c r="I43" s="86">
        <f>F41*H43*(1+G41*E43)</f>
        <v>1074.4435118624092</v>
      </c>
      <c r="J43" s="72">
        <f>I43/$C$22-1</f>
        <v>-5.1766338380543342E-4</v>
      </c>
      <c r="K43" s="110"/>
      <c r="L43" s="111"/>
      <c r="M43" s="111"/>
      <c r="N43" s="112"/>
      <c r="P43" s="38"/>
    </row>
    <row r="44" spans="2:16" ht="18" customHeight="1" thickBot="1" x14ac:dyDescent="0.3">
      <c r="B44" s="81"/>
      <c r="C44" s="71"/>
      <c r="D44" s="71"/>
      <c r="E44" s="73"/>
      <c r="F44" s="71"/>
      <c r="G44" s="71"/>
      <c r="H44" s="87"/>
      <c r="I44" s="87"/>
      <c r="J44" s="73"/>
      <c r="K44" s="113"/>
      <c r="L44" s="114"/>
      <c r="M44" s="114"/>
      <c r="N44" s="115"/>
      <c r="P44" s="38"/>
    </row>
    <row r="52" spans="10:10" ht="18" customHeight="1" x14ac:dyDescent="0.25">
      <c r="J52" s="2"/>
    </row>
    <row r="53" spans="10:10" ht="18" customHeight="1" x14ac:dyDescent="0.25">
      <c r="J53" s="2"/>
    </row>
    <row r="54" spans="10:10" ht="18" customHeight="1" x14ac:dyDescent="0.25">
      <c r="J54" s="2"/>
    </row>
    <row r="55" spans="10:10" ht="18" customHeight="1" x14ac:dyDescent="0.25">
      <c r="J55" s="2"/>
    </row>
    <row r="56" spans="10:10" ht="18" customHeight="1" x14ac:dyDescent="0.25">
      <c r="J56" s="2"/>
    </row>
    <row r="57" spans="10:10" ht="18" customHeight="1" x14ac:dyDescent="0.25">
      <c r="J57" s="2"/>
    </row>
    <row r="58" spans="10:10" ht="18" customHeight="1" x14ac:dyDescent="0.25">
      <c r="J58" s="2"/>
    </row>
    <row r="59" spans="10:10" ht="18" customHeight="1" x14ac:dyDescent="0.25">
      <c r="J59" s="2"/>
    </row>
    <row r="60" spans="10:10" ht="18" customHeight="1" x14ac:dyDescent="0.25">
      <c r="J60" s="2"/>
    </row>
    <row r="61" spans="10:10" ht="18" customHeight="1" x14ac:dyDescent="0.25">
      <c r="J61" s="2"/>
    </row>
    <row r="62" spans="10:10" ht="18" customHeight="1" x14ac:dyDescent="0.25">
      <c r="J62" s="2"/>
    </row>
    <row r="63" spans="10:10" ht="18" customHeight="1" x14ac:dyDescent="0.25">
      <c r="J63" s="2"/>
    </row>
    <row r="64" spans="10:10" ht="18" customHeight="1" x14ac:dyDescent="0.25">
      <c r="J64" s="2"/>
    </row>
    <row r="65" spans="10:10" ht="18" customHeight="1" x14ac:dyDescent="0.25">
      <c r="J65" s="2"/>
    </row>
    <row r="66" spans="10:10" ht="18" customHeight="1" x14ac:dyDescent="0.25">
      <c r="J66" s="2"/>
    </row>
    <row r="67" spans="10:10" ht="18" customHeight="1" x14ac:dyDescent="0.25">
      <c r="J67" s="2"/>
    </row>
    <row r="68" spans="10:10" ht="18" customHeight="1" x14ac:dyDescent="0.25">
      <c r="J68" s="2"/>
    </row>
    <row r="69" spans="10:10" ht="18" customHeight="1" x14ac:dyDescent="0.25">
      <c r="J69" s="2"/>
    </row>
  </sheetData>
  <mergeCells count="135">
    <mergeCell ref="C29:C32"/>
    <mergeCell ref="C33:C36"/>
    <mergeCell ref="C37:C40"/>
    <mergeCell ref="C41:C44"/>
    <mergeCell ref="L4:M4"/>
    <mergeCell ref="K26:L26"/>
    <mergeCell ref="J29:J30"/>
    <mergeCell ref="J31:J32"/>
    <mergeCell ref="J33:J34"/>
    <mergeCell ref="J35:J36"/>
    <mergeCell ref="J37:J38"/>
    <mergeCell ref="I29:I30"/>
    <mergeCell ref="I31:I32"/>
    <mergeCell ref="I33:I34"/>
    <mergeCell ref="I35:I36"/>
    <mergeCell ref="I37:I38"/>
    <mergeCell ref="F29:F32"/>
    <mergeCell ref="D41:D42"/>
    <mergeCell ref="D43:D44"/>
    <mergeCell ref="H26:J26"/>
    <mergeCell ref="I27:L27"/>
    <mergeCell ref="T13:Y13"/>
    <mergeCell ref="O3:Q3"/>
    <mergeCell ref="K28:N29"/>
    <mergeCell ref="K35:N44"/>
    <mergeCell ref="K3:K21"/>
    <mergeCell ref="N3:N14"/>
    <mergeCell ref="R14:Y14"/>
    <mergeCell ref="T16:Y16"/>
    <mergeCell ref="T17:Y18"/>
    <mergeCell ref="T19:Y20"/>
    <mergeCell ref="S17:S18"/>
    <mergeCell ref="S19:S20"/>
    <mergeCell ref="R16:R20"/>
    <mergeCell ref="T21:Y22"/>
    <mergeCell ref="S21:S22"/>
    <mergeCell ref="T23:Y24"/>
    <mergeCell ref="S23:S24"/>
    <mergeCell ref="B3:J4"/>
    <mergeCell ref="B5:B13"/>
    <mergeCell ref="B15:B21"/>
    <mergeCell ref="L3:M3"/>
    <mergeCell ref="V11:Y12"/>
    <mergeCell ref="V6:Y7"/>
    <mergeCell ref="W5:Y5"/>
    <mergeCell ref="W10:Y10"/>
    <mergeCell ref="R3:Y4"/>
    <mergeCell ref="R9:Y9"/>
    <mergeCell ref="T8:Y8"/>
    <mergeCell ref="C7:C13"/>
    <mergeCell ref="C15:C21"/>
    <mergeCell ref="F7:F8"/>
    <mergeCell ref="F9:F10"/>
    <mergeCell ref="F11:F12"/>
    <mergeCell ref="F13:F14"/>
    <mergeCell ref="F15:F16"/>
    <mergeCell ref="F17:F18"/>
    <mergeCell ref="E17:E18"/>
    <mergeCell ref="E19:E20"/>
    <mergeCell ref="E21:E22"/>
    <mergeCell ref="D7:D10"/>
    <mergeCell ref="D11:D14"/>
    <mergeCell ref="E15:E16"/>
    <mergeCell ref="H29:H30"/>
    <mergeCell ref="H31:H32"/>
    <mergeCell ref="G29:G32"/>
    <mergeCell ref="F33:F36"/>
    <mergeCell ref="G33:G36"/>
    <mergeCell ref="F37:F40"/>
    <mergeCell ref="G37:G40"/>
    <mergeCell ref="D19:D22"/>
    <mergeCell ref="E29:E30"/>
    <mergeCell ref="E31:E32"/>
    <mergeCell ref="E33:E34"/>
    <mergeCell ref="C28:D28"/>
    <mergeCell ref="B26:G27"/>
    <mergeCell ref="E35:E36"/>
    <mergeCell ref="E37:E38"/>
    <mergeCell ref="E39:E40"/>
    <mergeCell ref="B29:B36"/>
    <mergeCell ref="B37:B44"/>
    <mergeCell ref="D29:D30"/>
    <mergeCell ref="D31:D32"/>
    <mergeCell ref="D33:D34"/>
    <mergeCell ref="D35:D36"/>
    <mergeCell ref="D37:D38"/>
    <mergeCell ref="D39:D40"/>
    <mergeCell ref="F41:F44"/>
    <mergeCell ref="G41:G44"/>
    <mergeCell ref="I39:I40"/>
    <mergeCell ref="I41:I42"/>
    <mergeCell ref="I43:I44"/>
    <mergeCell ref="H33:H34"/>
    <mergeCell ref="H35:H36"/>
    <mergeCell ref="E41:E42"/>
    <mergeCell ref="E43:E44"/>
    <mergeCell ref="H37:H38"/>
    <mergeCell ref="H39:H40"/>
    <mergeCell ref="H41:H42"/>
    <mergeCell ref="H43:H44"/>
    <mergeCell ref="J39:J40"/>
    <mergeCell ref="J41:J42"/>
    <mergeCell ref="J43:J44"/>
    <mergeCell ref="T25:Y25"/>
    <mergeCell ref="T26:Y27"/>
    <mergeCell ref="R26:R27"/>
    <mergeCell ref="S26:S27"/>
    <mergeCell ref="R21:R25"/>
    <mergeCell ref="K30:N30"/>
    <mergeCell ref="K33:N33"/>
    <mergeCell ref="M27:N27"/>
    <mergeCell ref="C5:C6"/>
    <mergeCell ref="D5:E6"/>
    <mergeCell ref="F5:F6"/>
    <mergeCell ref="G5:G6"/>
    <mergeCell ref="H5:I5"/>
    <mergeCell ref="J5:J6"/>
    <mergeCell ref="T5:V5"/>
    <mergeCell ref="T10:V10"/>
    <mergeCell ref="K34:N34"/>
    <mergeCell ref="K32:N32"/>
    <mergeCell ref="K31:N31"/>
    <mergeCell ref="R10:R11"/>
    <mergeCell ref="R12:R13"/>
    <mergeCell ref="S10:S13"/>
    <mergeCell ref="F19:F20"/>
    <mergeCell ref="F21:F22"/>
    <mergeCell ref="R5:R6"/>
    <mergeCell ref="R7:R8"/>
    <mergeCell ref="S5:S8"/>
    <mergeCell ref="D15:D18"/>
    <mergeCell ref="E7:E8"/>
    <mergeCell ref="E9:E10"/>
    <mergeCell ref="E11:E12"/>
    <mergeCell ref="E13:E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Y69"/>
  <sheetViews>
    <sheetView showGridLines="0" zoomScale="70" zoomScaleNormal="70" workbookViewId="0">
      <selection activeCell="H7" sqref="H7"/>
    </sheetView>
  </sheetViews>
  <sheetFormatPr defaultColWidth="9.7109375" defaultRowHeight="18" customHeight="1" x14ac:dyDescent="0.25"/>
  <cols>
    <col min="1" max="9" width="9.7109375" style="2"/>
    <col min="10" max="10" width="9.7109375" style="1"/>
    <col min="11" max="16384" width="9.7109375" style="2"/>
  </cols>
  <sheetData>
    <row r="2" spans="2:25" ht="18" customHeight="1" thickBot="1" x14ac:dyDescent="0.3"/>
    <row r="3" spans="2:25" ht="18" customHeight="1" x14ac:dyDescent="0.25">
      <c r="B3" s="88" t="s">
        <v>41</v>
      </c>
      <c r="C3" s="89"/>
      <c r="D3" s="89"/>
      <c r="E3" s="89"/>
      <c r="F3" s="89"/>
      <c r="G3" s="89"/>
      <c r="H3" s="96"/>
      <c r="I3" s="96"/>
      <c r="J3" s="90"/>
      <c r="K3" s="116" t="s">
        <v>45</v>
      </c>
      <c r="L3" s="80" t="s">
        <v>42</v>
      </c>
      <c r="M3" s="99"/>
      <c r="N3" s="116" t="s">
        <v>45</v>
      </c>
      <c r="O3" s="80"/>
      <c r="P3" s="82"/>
      <c r="Q3" s="82"/>
      <c r="R3" s="88" t="s">
        <v>43</v>
      </c>
      <c r="S3" s="89"/>
      <c r="T3" s="89"/>
      <c r="U3" s="89"/>
      <c r="V3" s="89"/>
      <c r="W3" s="89"/>
      <c r="X3" s="89"/>
      <c r="Y3" s="90"/>
    </row>
    <row r="4" spans="2:25" ht="18" customHeight="1" thickBot="1" x14ac:dyDescent="0.3">
      <c r="B4" s="91"/>
      <c r="C4" s="92"/>
      <c r="D4" s="92"/>
      <c r="E4" s="92"/>
      <c r="F4" s="92"/>
      <c r="G4" s="92"/>
      <c r="H4" s="97"/>
      <c r="I4" s="97"/>
      <c r="J4" s="93"/>
      <c r="K4" s="117"/>
      <c r="L4" s="83" t="str">
        <f>"Scaled to "&amp;M22&amp;" Lux"</f>
        <v>Scaled to 300 Lux</v>
      </c>
      <c r="M4" s="95"/>
      <c r="N4" s="117"/>
      <c r="O4" s="49"/>
      <c r="P4" s="18" t="s">
        <v>7</v>
      </c>
      <c r="Q4" s="18" t="s">
        <v>8</v>
      </c>
      <c r="R4" s="91"/>
      <c r="S4" s="92"/>
      <c r="T4" s="92"/>
      <c r="U4" s="92"/>
      <c r="V4" s="92"/>
      <c r="W4" s="92"/>
      <c r="X4" s="92"/>
      <c r="Y4" s="93"/>
    </row>
    <row r="5" spans="2:25" ht="18" customHeight="1" x14ac:dyDescent="0.25">
      <c r="B5" s="98"/>
      <c r="C5" s="56" t="s">
        <v>4</v>
      </c>
      <c r="D5" s="58" t="s">
        <v>0</v>
      </c>
      <c r="E5" s="59"/>
      <c r="F5" s="56" t="s">
        <v>27</v>
      </c>
      <c r="G5" s="56" t="s">
        <v>1</v>
      </c>
      <c r="H5" s="62" t="s">
        <v>55</v>
      </c>
      <c r="I5" s="63"/>
      <c r="J5" s="64" t="s">
        <v>9</v>
      </c>
      <c r="K5" s="117"/>
      <c r="L5" s="48"/>
      <c r="M5" s="50" t="s">
        <v>29</v>
      </c>
      <c r="N5" s="117"/>
      <c r="O5" s="44">
        <f>M22</f>
        <v>300</v>
      </c>
      <c r="P5" s="21">
        <f>M6</f>
        <v>40.421545342579904</v>
      </c>
      <c r="Q5" s="22">
        <f>M7</f>
        <v>39.6412544501352</v>
      </c>
      <c r="R5" s="57" t="str">
        <f>C7</f>
        <v>A</v>
      </c>
      <c r="S5" s="57" t="str">
        <f>D7</f>
        <v>Low</v>
      </c>
      <c r="T5" s="57" t="str">
        <f>"Lux=("&amp;ROUND(U6,2)&amp;")*D1*(1 + ("&amp;ROUND(U7,2)&amp;")*R )"</f>
        <v>Lux=(24.67)*D1*(1 + (-0.71)*R )</v>
      </c>
      <c r="U5" s="57"/>
      <c r="V5" s="57"/>
      <c r="W5" s="102" t="s">
        <v>37</v>
      </c>
      <c r="X5" s="57"/>
      <c r="Y5" s="103"/>
    </row>
    <row r="6" spans="2:25" ht="18" customHeight="1" x14ac:dyDescent="0.25">
      <c r="B6" s="98"/>
      <c r="C6" s="57"/>
      <c r="D6" s="60"/>
      <c r="E6" s="61"/>
      <c r="F6" s="57"/>
      <c r="G6" s="57"/>
      <c r="H6" s="40" t="s">
        <v>54</v>
      </c>
      <c r="I6" s="40" t="s">
        <v>57</v>
      </c>
      <c r="J6" s="65"/>
      <c r="K6" s="117"/>
      <c r="L6" s="48" t="s">
        <v>7</v>
      </c>
      <c r="M6" s="10">
        <f>J7/65535*F7*M$23</f>
        <v>40.421545342579904</v>
      </c>
      <c r="N6" s="117"/>
      <c r="O6" s="48">
        <f>O5</f>
        <v>300</v>
      </c>
      <c r="P6" s="42">
        <f>M8</f>
        <v>40.258055822258157</v>
      </c>
      <c r="Q6" s="10">
        <f>M9</f>
        <v>39.47528781586918</v>
      </c>
      <c r="R6" s="66"/>
      <c r="S6" s="66"/>
      <c r="T6" s="53" t="s">
        <v>20</v>
      </c>
      <c r="U6" s="14">
        <f>Q9</f>
        <v>24.668887276985899</v>
      </c>
      <c r="V6" s="100" t="s">
        <v>35</v>
      </c>
      <c r="W6" s="100"/>
      <c r="X6" s="100"/>
      <c r="Y6" s="101"/>
    </row>
    <row r="7" spans="2:25" ht="18" customHeight="1" x14ac:dyDescent="0.25">
      <c r="B7" s="83"/>
      <c r="C7" s="66" t="s">
        <v>5</v>
      </c>
      <c r="D7" s="66" t="s">
        <v>10</v>
      </c>
      <c r="E7" s="66">
        <v>0</v>
      </c>
      <c r="F7" s="66">
        <v>1000</v>
      </c>
      <c r="G7" s="41" t="s">
        <v>2</v>
      </c>
      <c r="H7" s="36">
        <v>249</v>
      </c>
      <c r="I7" s="34"/>
      <c r="J7" s="32">
        <f>IF(I7&lt;&gt;"",I7,ROUND(H7/F7*65535,0))</f>
        <v>16318</v>
      </c>
      <c r="K7" s="117"/>
      <c r="L7" s="48" t="s">
        <v>8</v>
      </c>
      <c r="M7" s="10">
        <f>(J7-J8)/65535*F7*M$23</f>
        <v>39.6412544501352</v>
      </c>
      <c r="N7" s="117"/>
      <c r="O7" s="48">
        <f t="shared" ref="O7:O8" si="0">O6</f>
        <v>300</v>
      </c>
      <c r="P7" s="42">
        <f>M14</f>
        <v>13.224485643803563</v>
      </c>
      <c r="Q7" s="10">
        <f>M15</f>
        <v>1.3946417862571998</v>
      </c>
      <c r="R7" s="66" t="str">
        <f>C15</f>
        <v>CWF</v>
      </c>
      <c r="S7" s="66"/>
      <c r="T7" s="53" t="s">
        <v>21</v>
      </c>
      <c r="U7" s="14">
        <f>P9/U6</f>
        <v>-0.71233639950407235</v>
      </c>
      <c r="V7" s="100"/>
      <c r="W7" s="100"/>
      <c r="X7" s="100"/>
      <c r="Y7" s="101"/>
    </row>
    <row r="8" spans="2:25" ht="18" customHeight="1" x14ac:dyDescent="0.25">
      <c r="B8" s="83"/>
      <c r="C8" s="66"/>
      <c r="D8" s="66"/>
      <c r="E8" s="66"/>
      <c r="F8" s="66"/>
      <c r="G8" s="41" t="s">
        <v>3</v>
      </c>
      <c r="H8" s="36">
        <v>4.8</v>
      </c>
      <c r="I8" s="34"/>
      <c r="J8" s="32">
        <f>IF(I8&lt;&gt;"",I8,ROUND(H8/F7*65535,0))</f>
        <v>315</v>
      </c>
      <c r="K8" s="117"/>
      <c r="L8" s="48" t="str">
        <f t="shared" ref="L8:L21" si="1">L6</f>
        <v>D1</v>
      </c>
      <c r="M8" s="10">
        <f>J9/65535*F9*M$23</f>
        <v>40.258055822258157</v>
      </c>
      <c r="N8" s="117"/>
      <c r="O8" s="48">
        <f t="shared" si="0"/>
        <v>300</v>
      </c>
      <c r="P8" s="42">
        <f>M16</f>
        <v>13.060410139538011</v>
      </c>
      <c r="Q8" s="10">
        <f>M17</f>
        <v>1.3618266854040892</v>
      </c>
      <c r="R8" s="66"/>
      <c r="S8" s="66"/>
      <c r="T8" s="66"/>
      <c r="U8" s="66"/>
      <c r="V8" s="66"/>
      <c r="W8" s="66"/>
      <c r="X8" s="66"/>
      <c r="Y8" s="95"/>
    </row>
    <row r="9" spans="2:25" ht="18" customHeight="1" thickBot="1" x14ac:dyDescent="0.3">
      <c r="B9" s="83"/>
      <c r="C9" s="66"/>
      <c r="D9" s="66"/>
      <c r="E9" s="66">
        <f>E7+1</f>
        <v>1</v>
      </c>
      <c r="F9" s="66">
        <f>F7*4</f>
        <v>4000</v>
      </c>
      <c r="G9" s="41" t="str">
        <f t="shared" ref="G9:G22" si="2">G7</f>
        <v>OFF</v>
      </c>
      <c r="H9" s="36">
        <v>248</v>
      </c>
      <c r="I9" s="34"/>
      <c r="J9" s="32">
        <f t="shared" ref="J9" si="3">IF(I9&lt;&gt;"",I9,ROUND(H9/F9*65535,0))</f>
        <v>4063</v>
      </c>
      <c r="K9" s="117"/>
      <c r="L9" s="48" t="str">
        <f t="shared" si="1"/>
        <v>D2</v>
      </c>
      <c r="M9" s="10">
        <f>(J9-J10)/65535*F9*M$23</f>
        <v>39.47528781586918</v>
      </c>
      <c r="N9" s="117"/>
      <c r="O9" s="15" t="s">
        <v>12</v>
      </c>
      <c r="P9" s="43">
        <f t="array" ref="P9:Q9">LINEST(O5:O8,P5:Q8,FALSE)</f>
        <v>-17.572546342659955</v>
      </c>
      <c r="Q9" s="23">
        <v>24.668887276985899</v>
      </c>
      <c r="R9" s="66"/>
      <c r="S9" s="66"/>
      <c r="T9" s="66"/>
      <c r="U9" s="66"/>
      <c r="V9" s="66"/>
      <c r="W9" s="66"/>
      <c r="X9" s="66"/>
      <c r="Y9" s="95"/>
    </row>
    <row r="10" spans="2:25" ht="18" customHeight="1" x14ac:dyDescent="0.25">
      <c r="B10" s="83"/>
      <c r="C10" s="66"/>
      <c r="D10" s="66"/>
      <c r="E10" s="66"/>
      <c r="F10" s="66"/>
      <c r="G10" s="41" t="str">
        <f t="shared" si="2"/>
        <v>ON</v>
      </c>
      <c r="H10" s="36">
        <v>4.8</v>
      </c>
      <c r="I10" s="34"/>
      <c r="J10" s="32">
        <f t="shared" ref="J10" si="4">IF(I10&lt;&gt;"",I10,ROUND(H10/F9*65535,0))</f>
        <v>79</v>
      </c>
      <c r="K10" s="117"/>
      <c r="L10" s="48" t="str">
        <f t="shared" si="1"/>
        <v>D1</v>
      </c>
      <c r="M10" s="10">
        <f>J11/65535*F11*M$23</f>
        <v>44.588050996840202</v>
      </c>
      <c r="N10" s="117"/>
      <c r="O10" s="44">
        <f>O8</f>
        <v>300</v>
      </c>
      <c r="P10" s="21">
        <f>M10</f>
        <v>44.588050996840202</v>
      </c>
      <c r="Q10" s="22">
        <f>M11</f>
        <v>44.508783350623595</v>
      </c>
      <c r="R10" s="66" t="str">
        <f>R5</f>
        <v>A</v>
      </c>
      <c r="S10" s="66" t="str">
        <f>D19</f>
        <v>High</v>
      </c>
      <c r="T10" s="66" t="str">
        <f>"Lux=("&amp;ROUND(U11,2)&amp;")*D1*(1 + ("&amp;ROUND(U12,2)&amp;")*R )"</f>
        <v>Lux=(23.03)*D1*(1 + (-0.71)*R )</v>
      </c>
      <c r="U10" s="66"/>
      <c r="V10" s="66"/>
      <c r="W10" s="94" t="s">
        <v>38</v>
      </c>
      <c r="X10" s="66"/>
      <c r="Y10" s="95"/>
    </row>
    <row r="11" spans="2:25" ht="18" customHeight="1" x14ac:dyDescent="0.25">
      <c r="B11" s="83"/>
      <c r="C11" s="66"/>
      <c r="D11" s="66" t="s">
        <v>11</v>
      </c>
      <c r="E11" s="66">
        <f>E9+1</f>
        <v>2</v>
      </c>
      <c r="F11" s="66">
        <f>F9*4</f>
        <v>16000</v>
      </c>
      <c r="G11" s="41" t="str">
        <f t="shared" si="2"/>
        <v>OFF</v>
      </c>
      <c r="H11" s="36">
        <v>274.7</v>
      </c>
      <c r="I11" s="34"/>
      <c r="J11" s="32">
        <f t="shared" ref="J11" si="5">IF(I11&lt;&gt;"",I11,ROUND(H11/F11*65535,0))</f>
        <v>1125</v>
      </c>
      <c r="K11" s="117"/>
      <c r="L11" s="48" t="str">
        <f t="shared" si="1"/>
        <v>D2</v>
      </c>
      <c r="M11" s="10">
        <f>(J11-J12)/65535*F11*M$23</f>
        <v>44.508783350623595</v>
      </c>
      <c r="N11" s="117"/>
      <c r="O11" s="48">
        <f t="shared" ref="O11:O13" si="6">O10</f>
        <v>300</v>
      </c>
      <c r="P11" s="42">
        <f>M12</f>
        <v>44.548417173731899</v>
      </c>
      <c r="Q11" s="10">
        <f>M13</f>
        <v>44.389881881298692</v>
      </c>
      <c r="R11" s="66"/>
      <c r="S11" s="66"/>
      <c r="T11" s="53" t="s">
        <v>22</v>
      </c>
      <c r="U11" s="14">
        <f>Q14</f>
        <v>23.029085284523969</v>
      </c>
      <c r="V11" s="100" t="s">
        <v>36</v>
      </c>
      <c r="W11" s="100"/>
      <c r="X11" s="100"/>
      <c r="Y11" s="101"/>
    </row>
    <row r="12" spans="2:25" ht="18" customHeight="1" x14ac:dyDescent="0.25">
      <c r="B12" s="83"/>
      <c r="C12" s="66"/>
      <c r="D12" s="66"/>
      <c r="E12" s="66"/>
      <c r="F12" s="66"/>
      <c r="G12" s="41" t="str">
        <f t="shared" si="2"/>
        <v>ON</v>
      </c>
      <c r="H12" s="36">
        <v>0.5</v>
      </c>
      <c r="I12" s="34"/>
      <c r="J12" s="32">
        <f t="shared" ref="J12" si="7">IF(I12&lt;&gt;"",I12,ROUND(H12/F11*65535,0))</f>
        <v>2</v>
      </c>
      <c r="K12" s="117"/>
      <c r="L12" s="48" t="str">
        <f t="shared" si="1"/>
        <v>D1</v>
      </c>
      <c r="M12" s="10">
        <f>J13/65535*F13*M$23</f>
        <v>44.548417173731899</v>
      </c>
      <c r="N12" s="117"/>
      <c r="O12" s="48">
        <f t="shared" si="6"/>
        <v>300</v>
      </c>
      <c r="P12" s="42">
        <f>M18</f>
        <v>13.519821551481559</v>
      </c>
      <c r="Q12" s="10">
        <f>M19</f>
        <v>0.78756242047465397</v>
      </c>
      <c r="R12" s="66" t="str">
        <f>R7</f>
        <v>CWF</v>
      </c>
      <c r="S12" s="66"/>
      <c r="T12" s="53" t="s">
        <v>23</v>
      </c>
      <c r="U12" s="14">
        <f>P14/U11</f>
        <v>-0.70959878384127761</v>
      </c>
      <c r="V12" s="100"/>
      <c r="W12" s="100"/>
      <c r="X12" s="100"/>
      <c r="Y12" s="101"/>
    </row>
    <row r="13" spans="2:25" ht="18" customHeight="1" x14ac:dyDescent="0.25">
      <c r="B13" s="83"/>
      <c r="C13" s="66"/>
      <c r="D13" s="66"/>
      <c r="E13" s="66">
        <f>E11+1</f>
        <v>3</v>
      </c>
      <c r="F13" s="66">
        <f>F11*4</f>
        <v>64000</v>
      </c>
      <c r="G13" s="41" t="str">
        <f t="shared" si="2"/>
        <v>OFF</v>
      </c>
      <c r="H13" s="36">
        <v>274.2</v>
      </c>
      <c r="I13" s="34"/>
      <c r="J13" s="32">
        <f t="shared" ref="J13" si="8">IF(I13&lt;&gt;"",I13,ROUND(H13/F13*65535,0))</f>
        <v>281</v>
      </c>
      <c r="K13" s="117"/>
      <c r="L13" s="48" t="str">
        <f t="shared" si="1"/>
        <v>D2</v>
      </c>
      <c r="M13" s="10">
        <f>(J13-J14)/65535*F13*M$23</f>
        <v>44.389881881298692</v>
      </c>
      <c r="N13" s="117"/>
      <c r="O13" s="48">
        <f t="shared" si="6"/>
        <v>300</v>
      </c>
      <c r="P13" s="42">
        <f>M20</f>
        <v>13.651081954894002</v>
      </c>
      <c r="Q13" s="10">
        <f>M21</f>
        <v>0.78756242047465397</v>
      </c>
      <c r="R13" s="66"/>
      <c r="S13" s="66"/>
      <c r="T13" s="66"/>
      <c r="U13" s="66"/>
      <c r="V13" s="66"/>
      <c r="W13" s="66"/>
      <c r="X13" s="66"/>
      <c r="Y13" s="95"/>
    </row>
    <row r="14" spans="2:25" ht="18" customHeight="1" thickBot="1" x14ac:dyDescent="0.3">
      <c r="B14" s="48" t="s">
        <v>34</v>
      </c>
      <c r="C14" s="54">
        <v>1848</v>
      </c>
      <c r="D14" s="66"/>
      <c r="E14" s="66"/>
      <c r="F14" s="66"/>
      <c r="G14" s="41" t="str">
        <f t="shared" si="2"/>
        <v>ON</v>
      </c>
      <c r="H14" s="36">
        <v>1</v>
      </c>
      <c r="I14" s="34"/>
      <c r="J14" s="32">
        <f t="shared" ref="J14" si="9">IF(I14&lt;&gt;"",I14,ROUND(H14/F13*65535,0))</f>
        <v>1</v>
      </c>
      <c r="K14" s="117"/>
      <c r="L14" s="48" t="str">
        <f t="shared" si="1"/>
        <v>D1</v>
      </c>
      <c r="M14" s="10">
        <f>J15/65535*F15*M$24</f>
        <v>13.224485643803563</v>
      </c>
      <c r="N14" s="117"/>
      <c r="O14" s="15" t="s">
        <v>12</v>
      </c>
      <c r="P14" s="43">
        <f t="array" ref="P14:Q14">LINEST(O10:O13,P10:Q13,FALSE)</f>
        <v>-16.341410910875272</v>
      </c>
      <c r="Q14" s="23">
        <v>23.029085284523969</v>
      </c>
      <c r="R14" s="118"/>
      <c r="S14" s="118"/>
      <c r="T14" s="118"/>
      <c r="U14" s="118"/>
      <c r="V14" s="118"/>
      <c r="W14" s="118"/>
      <c r="X14" s="118"/>
      <c r="Y14" s="119"/>
    </row>
    <row r="15" spans="2:25" ht="18" customHeight="1" thickBot="1" x14ac:dyDescent="0.3">
      <c r="B15" s="83"/>
      <c r="C15" s="66" t="s">
        <v>6</v>
      </c>
      <c r="D15" s="66" t="str">
        <f>D7</f>
        <v>Low</v>
      </c>
      <c r="E15" s="66">
        <f>E7</f>
        <v>0</v>
      </c>
      <c r="F15" s="66">
        <f>F7</f>
        <v>1000</v>
      </c>
      <c r="G15" s="41" t="str">
        <f t="shared" si="2"/>
        <v>OFF</v>
      </c>
      <c r="H15" s="36">
        <v>49.2</v>
      </c>
      <c r="I15" s="34"/>
      <c r="J15" s="32">
        <f t="shared" ref="J15" si="10">IF(I15&lt;&gt;"",I15,ROUND(H15/F15*65535,0))</f>
        <v>3224</v>
      </c>
      <c r="K15" s="117"/>
      <c r="L15" s="48" t="str">
        <f t="shared" si="1"/>
        <v>D2</v>
      </c>
      <c r="M15" s="10">
        <f>(J15-J16)/65535*F15*M$24</f>
        <v>1.3946417862571998</v>
      </c>
    </row>
    <row r="16" spans="2:25" ht="18" customHeight="1" x14ac:dyDescent="0.25">
      <c r="B16" s="83"/>
      <c r="C16" s="66"/>
      <c r="D16" s="66"/>
      <c r="E16" s="66"/>
      <c r="F16" s="66"/>
      <c r="G16" s="41" t="str">
        <f t="shared" si="2"/>
        <v>ON</v>
      </c>
      <c r="H16" s="36">
        <v>44</v>
      </c>
      <c r="I16" s="34"/>
      <c r="J16" s="32">
        <f t="shared" ref="J16" si="11">IF(I16&lt;&gt;"",I16,ROUND(H16/F15*65535,0))</f>
        <v>2884</v>
      </c>
      <c r="K16" s="117"/>
      <c r="L16" s="48" t="str">
        <f t="shared" si="1"/>
        <v>D1</v>
      </c>
      <c r="M16" s="10">
        <f>J17/65535*F17*M$24</f>
        <v>13.060410139538011</v>
      </c>
      <c r="R16" s="80">
        <v>1</v>
      </c>
      <c r="S16" s="46">
        <f>R16+0.1</f>
        <v>1.1000000000000001</v>
      </c>
      <c r="T16" s="121" t="s">
        <v>47</v>
      </c>
      <c r="U16" s="121"/>
      <c r="V16" s="121"/>
      <c r="W16" s="121"/>
      <c r="X16" s="121"/>
      <c r="Y16" s="122"/>
    </row>
    <row r="17" spans="2:25" ht="18" customHeight="1" x14ac:dyDescent="0.25">
      <c r="B17" s="83"/>
      <c r="C17" s="66"/>
      <c r="D17" s="66"/>
      <c r="E17" s="66">
        <f>E9</f>
        <v>1</v>
      </c>
      <c r="F17" s="66">
        <f>F9</f>
        <v>4000</v>
      </c>
      <c r="G17" s="41" t="str">
        <f t="shared" si="2"/>
        <v>OFF</v>
      </c>
      <c r="H17" s="36">
        <v>48.6</v>
      </c>
      <c r="I17" s="34"/>
      <c r="J17" s="32">
        <f t="shared" ref="J17" si="12">IF(I17&lt;&gt;"",I17,ROUND(H17/F17*65535,0))</f>
        <v>796</v>
      </c>
      <c r="K17" s="117"/>
      <c r="L17" s="48" t="str">
        <f t="shared" si="1"/>
        <v>D2</v>
      </c>
      <c r="M17" s="10">
        <f>(J17-J18)/65535*F17*M$24</f>
        <v>1.3618266854040892</v>
      </c>
      <c r="R17" s="83"/>
      <c r="S17" s="66">
        <f>S16+0.1</f>
        <v>1.2000000000000002</v>
      </c>
      <c r="T17" s="100" t="s">
        <v>48</v>
      </c>
      <c r="U17" s="100"/>
      <c r="V17" s="100"/>
      <c r="W17" s="100"/>
      <c r="X17" s="100"/>
      <c r="Y17" s="101"/>
    </row>
    <row r="18" spans="2:25" ht="18" customHeight="1" x14ac:dyDescent="0.25">
      <c r="B18" s="83"/>
      <c r="C18" s="66"/>
      <c r="D18" s="66"/>
      <c r="E18" s="66"/>
      <c r="F18" s="66"/>
      <c r="G18" s="41" t="str">
        <f t="shared" si="2"/>
        <v>ON</v>
      </c>
      <c r="H18" s="36">
        <v>43.5</v>
      </c>
      <c r="I18" s="34"/>
      <c r="J18" s="32">
        <f t="shared" ref="J18" si="13">IF(I18&lt;&gt;"",I18,ROUND(H18/F17*65535,0))</f>
        <v>713</v>
      </c>
      <c r="K18" s="117"/>
      <c r="L18" s="48" t="str">
        <f t="shared" si="1"/>
        <v>D1</v>
      </c>
      <c r="M18" s="10">
        <f>J19/65535*F19*M$24</f>
        <v>13.519821551481559</v>
      </c>
      <c r="R18" s="83"/>
      <c r="S18" s="66"/>
      <c r="T18" s="100"/>
      <c r="U18" s="100"/>
      <c r="V18" s="100"/>
      <c r="W18" s="100"/>
      <c r="X18" s="100"/>
      <c r="Y18" s="101"/>
    </row>
    <row r="19" spans="2:25" ht="18" customHeight="1" x14ac:dyDescent="0.25">
      <c r="B19" s="83"/>
      <c r="C19" s="66"/>
      <c r="D19" s="66" t="str">
        <f>D11</f>
        <v>High</v>
      </c>
      <c r="E19" s="66">
        <f>E11</f>
        <v>2</v>
      </c>
      <c r="F19" s="66">
        <f>F11</f>
        <v>16000</v>
      </c>
      <c r="G19" s="41" t="str">
        <f t="shared" si="2"/>
        <v>OFF</v>
      </c>
      <c r="H19" s="36">
        <v>50.4</v>
      </c>
      <c r="I19" s="34"/>
      <c r="J19" s="32">
        <f t="shared" ref="J19" si="14">IF(I19&lt;&gt;"",I19,ROUND(H19/F19*65535,0))</f>
        <v>206</v>
      </c>
      <c r="K19" s="117"/>
      <c r="L19" s="48" t="str">
        <f t="shared" si="1"/>
        <v>D2</v>
      </c>
      <c r="M19" s="10">
        <f>(J19-J20)/65535*F19*M$24</f>
        <v>0.78756242047465397</v>
      </c>
      <c r="R19" s="83"/>
      <c r="S19" s="127">
        <f>S17+0.1</f>
        <v>1.3000000000000003</v>
      </c>
      <c r="T19" s="123" t="s">
        <v>56</v>
      </c>
      <c r="U19" s="123"/>
      <c r="V19" s="123"/>
      <c r="W19" s="123"/>
      <c r="X19" s="123"/>
      <c r="Y19" s="124"/>
    </row>
    <row r="20" spans="2:25" ht="18" customHeight="1" thickBot="1" x14ac:dyDescent="0.3">
      <c r="B20" s="83"/>
      <c r="C20" s="66"/>
      <c r="D20" s="66"/>
      <c r="E20" s="66"/>
      <c r="F20" s="66"/>
      <c r="G20" s="41" t="str">
        <f t="shared" si="2"/>
        <v>ON</v>
      </c>
      <c r="H20" s="36">
        <v>47.4</v>
      </c>
      <c r="I20" s="34"/>
      <c r="J20" s="32">
        <f t="shared" ref="J20" si="15">IF(I20&lt;&gt;"",I20,ROUND(H20/F19*65535,0))</f>
        <v>194</v>
      </c>
      <c r="K20" s="117"/>
      <c r="L20" s="48" t="str">
        <f t="shared" si="1"/>
        <v>D1</v>
      </c>
      <c r="M20" s="10">
        <f>J21/65535*F21*M$24</f>
        <v>13.651081954894002</v>
      </c>
      <c r="R20" s="84"/>
      <c r="S20" s="128"/>
      <c r="T20" s="125"/>
      <c r="U20" s="125"/>
      <c r="V20" s="125"/>
      <c r="W20" s="125"/>
      <c r="X20" s="125"/>
      <c r="Y20" s="126"/>
    </row>
    <row r="21" spans="2:25" ht="18" customHeight="1" x14ac:dyDescent="0.25">
      <c r="B21" s="83"/>
      <c r="C21" s="66"/>
      <c r="D21" s="66"/>
      <c r="E21" s="66">
        <f>E13</f>
        <v>3</v>
      </c>
      <c r="F21" s="66">
        <f>F13</f>
        <v>64000</v>
      </c>
      <c r="G21" s="41" t="str">
        <f t="shared" si="2"/>
        <v>OFF</v>
      </c>
      <c r="H21" s="36">
        <v>50.8</v>
      </c>
      <c r="I21" s="34"/>
      <c r="J21" s="32">
        <f t="shared" ref="J21" si="16">IF(I21&lt;&gt;"",I21,ROUND(H21/F21*65535,0))</f>
        <v>52</v>
      </c>
      <c r="K21" s="117"/>
      <c r="L21" s="48" t="str">
        <f t="shared" si="1"/>
        <v>D2</v>
      </c>
      <c r="M21" s="10">
        <f>(J21-J22)/65535*F21*M$24</f>
        <v>0.78756242047465397</v>
      </c>
      <c r="R21" s="80">
        <f>R16+1</f>
        <v>2</v>
      </c>
      <c r="S21" s="82">
        <f>R21+0.1</f>
        <v>2.1</v>
      </c>
      <c r="T21" s="76" t="s">
        <v>49</v>
      </c>
      <c r="U21" s="76"/>
      <c r="V21" s="76"/>
      <c r="W21" s="76"/>
      <c r="X21" s="76"/>
      <c r="Y21" s="77"/>
    </row>
    <row r="22" spans="2:25" ht="18" customHeight="1" thickBot="1" x14ac:dyDescent="0.3">
      <c r="B22" s="45" t="s">
        <v>34</v>
      </c>
      <c r="C22" s="6">
        <v>1116</v>
      </c>
      <c r="D22" s="71"/>
      <c r="E22" s="71"/>
      <c r="F22" s="71"/>
      <c r="G22" s="47" t="str">
        <f t="shared" si="2"/>
        <v>ON</v>
      </c>
      <c r="H22" s="37">
        <v>47.9</v>
      </c>
      <c r="I22" s="35"/>
      <c r="J22" s="33">
        <f t="shared" ref="J22" si="17">IF(I22&lt;&gt;"",I22,ROUND(H22/F21*65535,0))</f>
        <v>49</v>
      </c>
      <c r="L22" s="48" t="s">
        <v>33</v>
      </c>
      <c r="M22" s="50">
        <v>300</v>
      </c>
      <c r="R22" s="83"/>
      <c r="S22" s="66"/>
      <c r="T22" s="100"/>
      <c r="U22" s="100"/>
      <c r="V22" s="100"/>
      <c r="W22" s="100"/>
      <c r="X22" s="100"/>
      <c r="Y22" s="101"/>
    </row>
    <row r="23" spans="2:25" ht="18" customHeight="1" x14ac:dyDescent="0.25">
      <c r="L23" s="48" t="s">
        <v>24</v>
      </c>
      <c r="M23" s="11">
        <f>M22/C14</f>
        <v>0.16233766233766234</v>
      </c>
      <c r="R23" s="83"/>
      <c r="S23" s="66">
        <f>S21+0.1</f>
        <v>2.2000000000000002</v>
      </c>
      <c r="T23" s="100" t="s">
        <v>50</v>
      </c>
      <c r="U23" s="100"/>
      <c r="V23" s="100"/>
      <c r="W23" s="100"/>
      <c r="X23" s="100"/>
      <c r="Y23" s="101"/>
    </row>
    <row r="24" spans="2:25" ht="18" customHeight="1" thickBot="1" x14ac:dyDescent="0.3">
      <c r="L24" s="45" t="s">
        <v>25</v>
      </c>
      <c r="M24" s="12">
        <f>M22/C22</f>
        <v>0.26881720430107525</v>
      </c>
      <c r="R24" s="83"/>
      <c r="S24" s="66"/>
      <c r="T24" s="100"/>
      <c r="U24" s="100"/>
      <c r="V24" s="100"/>
      <c r="W24" s="100"/>
      <c r="X24" s="100"/>
      <c r="Y24" s="101"/>
    </row>
    <row r="25" spans="2:25" ht="18" customHeight="1" thickBot="1" x14ac:dyDescent="0.3">
      <c r="R25" s="84"/>
      <c r="S25" s="30">
        <f>S23+0.1</f>
        <v>2.3000000000000003</v>
      </c>
      <c r="T25" s="74" t="s">
        <v>51</v>
      </c>
      <c r="U25" s="74"/>
      <c r="V25" s="74"/>
      <c r="W25" s="74"/>
      <c r="X25" s="74"/>
      <c r="Y25" s="75"/>
    </row>
    <row r="26" spans="2:25" ht="18" customHeight="1" x14ac:dyDescent="0.25">
      <c r="B26" s="88" t="s">
        <v>44</v>
      </c>
      <c r="C26" s="89"/>
      <c r="D26" s="89"/>
      <c r="E26" s="89"/>
      <c r="F26" s="89"/>
      <c r="G26" s="90"/>
      <c r="H26" s="104" t="s">
        <v>32</v>
      </c>
      <c r="I26" s="105"/>
      <c r="J26" s="105"/>
      <c r="K26" s="120" t="s">
        <v>39</v>
      </c>
      <c r="L26" s="82"/>
      <c r="M26" s="46"/>
      <c r="N26" s="52"/>
      <c r="R26" s="80">
        <v>3</v>
      </c>
      <c r="S26" s="82">
        <f>R26+0.1</f>
        <v>3.1</v>
      </c>
      <c r="T26" s="76" t="s">
        <v>52</v>
      </c>
      <c r="U26" s="76"/>
      <c r="V26" s="76"/>
      <c r="W26" s="76"/>
      <c r="X26" s="76"/>
      <c r="Y26" s="77"/>
    </row>
    <row r="27" spans="2:25" ht="18" customHeight="1" thickBot="1" x14ac:dyDescent="0.3">
      <c r="B27" s="91"/>
      <c r="C27" s="92"/>
      <c r="D27" s="92"/>
      <c r="E27" s="92"/>
      <c r="F27" s="92"/>
      <c r="G27" s="93"/>
      <c r="H27" s="27" t="s">
        <v>28</v>
      </c>
      <c r="I27" s="106" t="s">
        <v>53</v>
      </c>
      <c r="J27" s="106"/>
      <c r="K27" s="106"/>
      <c r="L27" s="106"/>
      <c r="M27" s="94" t="s">
        <v>40</v>
      </c>
      <c r="N27" s="95"/>
      <c r="R27" s="81"/>
      <c r="S27" s="71"/>
      <c r="T27" s="78"/>
      <c r="U27" s="78"/>
      <c r="V27" s="78"/>
      <c r="W27" s="78"/>
      <c r="X27" s="78"/>
      <c r="Y27" s="79"/>
    </row>
    <row r="28" spans="2:25" ht="18" customHeight="1" x14ac:dyDescent="0.25">
      <c r="B28" s="51" t="s">
        <v>4</v>
      </c>
      <c r="C28" s="57" t="s">
        <v>0</v>
      </c>
      <c r="D28" s="57"/>
      <c r="E28" s="39" t="s">
        <v>13</v>
      </c>
      <c r="F28" s="39" t="s">
        <v>18</v>
      </c>
      <c r="G28" s="39" t="s">
        <v>19</v>
      </c>
      <c r="H28" s="41" t="s">
        <v>30</v>
      </c>
      <c r="I28" s="41" t="s">
        <v>31</v>
      </c>
      <c r="J28" s="41" t="s">
        <v>26</v>
      </c>
      <c r="K28" s="66"/>
      <c r="L28" s="66"/>
      <c r="M28" s="66"/>
      <c r="N28" s="95"/>
    </row>
    <row r="29" spans="2:25" ht="18" customHeight="1" x14ac:dyDescent="0.25">
      <c r="B29" s="83" t="s">
        <v>5</v>
      </c>
      <c r="C29" s="66" t="s">
        <v>10</v>
      </c>
      <c r="D29" s="66">
        <v>0</v>
      </c>
      <c r="E29" s="72">
        <f>(J7-J8)/J7</f>
        <v>0.98069616374555701</v>
      </c>
      <c r="F29" s="85">
        <f>$U$6</f>
        <v>24.668887276985899</v>
      </c>
      <c r="G29" s="85">
        <f>$U$7</f>
        <v>-0.71233639950407235</v>
      </c>
      <c r="H29" s="86">
        <f>J7/65535*F7</f>
        <v>248.99671931029221</v>
      </c>
      <c r="I29" s="86">
        <f>F29*H29*(1+G29*E29)</f>
        <v>1851.4296706228527</v>
      </c>
      <c r="J29" s="72">
        <f>I29/$C$14-1</f>
        <v>1.8558823716734452E-3</v>
      </c>
      <c r="K29" s="66"/>
      <c r="L29" s="66"/>
      <c r="M29" s="66"/>
      <c r="N29" s="95"/>
      <c r="P29" s="38"/>
    </row>
    <row r="30" spans="2:25" ht="18" customHeight="1" x14ac:dyDescent="0.25">
      <c r="B30" s="83"/>
      <c r="C30" s="66"/>
      <c r="D30" s="66"/>
      <c r="E30" s="72"/>
      <c r="F30" s="66"/>
      <c r="G30" s="66"/>
      <c r="H30" s="86"/>
      <c r="I30" s="86"/>
      <c r="J30" s="72"/>
      <c r="K30" s="69" t="s">
        <v>17</v>
      </c>
      <c r="L30" s="69"/>
      <c r="M30" s="69"/>
      <c r="N30" s="70"/>
      <c r="P30" s="38"/>
    </row>
    <row r="31" spans="2:25" ht="18" customHeight="1" x14ac:dyDescent="0.25">
      <c r="B31" s="83"/>
      <c r="C31" s="66"/>
      <c r="D31" s="66">
        <f>D29+1</f>
        <v>1</v>
      </c>
      <c r="E31" s="72">
        <f>(J9-J10)/J9</f>
        <v>0.98055623923209456</v>
      </c>
      <c r="F31" s="66"/>
      <c r="G31" s="66"/>
      <c r="H31" s="86">
        <f>J9/65535*F9</f>
        <v>247.98962386511025</v>
      </c>
      <c r="I31" s="86">
        <f>F29*H31*(1+G29*E31)</f>
        <v>1844.5511178598576</v>
      </c>
      <c r="J31" s="72">
        <f>I31/$C$14-1</f>
        <v>-1.8662782143626933E-3</v>
      </c>
      <c r="K31" s="67" t="s">
        <v>15</v>
      </c>
      <c r="L31" s="67"/>
      <c r="M31" s="67"/>
      <c r="N31" s="68"/>
      <c r="P31" s="38"/>
    </row>
    <row r="32" spans="2:25" ht="18" customHeight="1" x14ac:dyDescent="0.25">
      <c r="B32" s="83"/>
      <c r="C32" s="66"/>
      <c r="D32" s="66"/>
      <c r="E32" s="72"/>
      <c r="F32" s="66"/>
      <c r="G32" s="66"/>
      <c r="H32" s="86"/>
      <c r="I32" s="86"/>
      <c r="J32" s="72"/>
      <c r="K32" s="69" t="s">
        <v>16</v>
      </c>
      <c r="L32" s="69"/>
      <c r="M32" s="69"/>
      <c r="N32" s="70"/>
      <c r="P32" s="38"/>
    </row>
    <row r="33" spans="2:16" ht="18" customHeight="1" x14ac:dyDescent="0.25">
      <c r="B33" s="83"/>
      <c r="C33" s="66" t="s">
        <v>11</v>
      </c>
      <c r="D33" s="66">
        <f>D31+1</f>
        <v>2</v>
      </c>
      <c r="E33" s="72">
        <f>(J11-J12)/J11</f>
        <v>0.99822222222222223</v>
      </c>
      <c r="F33" s="85">
        <f>$U$11</f>
        <v>23.029085284523969</v>
      </c>
      <c r="G33" s="85">
        <f>$U$12</f>
        <v>-0.70959878384127761</v>
      </c>
      <c r="H33" s="86">
        <f>J11/65535*F11</f>
        <v>274.66239414053564</v>
      </c>
      <c r="I33" s="86">
        <f>F33*H33*(1+G33*E33)</f>
        <v>1844.8319809998413</v>
      </c>
      <c r="J33" s="72">
        <f>I33/$C$14-1</f>
        <v>-1.7142959957568982E-3</v>
      </c>
      <c r="K33" s="69" t="s">
        <v>46</v>
      </c>
      <c r="L33" s="69"/>
      <c r="M33" s="69"/>
      <c r="N33" s="70"/>
      <c r="P33" s="38"/>
    </row>
    <row r="34" spans="2:16" ht="18" customHeight="1" x14ac:dyDescent="0.25">
      <c r="B34" s="83"/>
      <c r="C34" s="66"/>
      <c r="D34" s="66"/>
      <c r="E34" s="72"/>
      <c r="F34" s="66"/>
      <c r="G34" s="66"/>
      <c r="H34" s="86"/>
      <c r="I34" s="86"/>
      <c r="J34" s="72"/>
      <c r="K34" s="67" t="s">
        <v>14</v>
      </c>
      <c r="L34" s="67"/>
      <c r="M34" s="67"/>
      <c r="N34" s="68"/>
      <c r="P34" s="38"/>
    </row>
    <row r="35" spans="2:16" ht="18" customHeight="1" x14ac:dyDescent="0.25">
      <c r="B35" s="83"/>
      <c r="C35" s="66"/>
      <c r="D35" s="66">
        <f>D33+1</f>
        <v>3</v>
      </c>
      <c r="E35" s="72">
        <f>(J13-J14)/J13</f>
        <v>0.99644128113879005</v>
      </c>
      <c r="F35" s="66"/>
      <c r="G35" s="66"/>
      <c r="H35" s="86">
        <f>J13/65535*F13</f>
        <v>274.4182497901885</v>
      </c>
      <c r="I35" s="86">
        <f>F33*H35*(1+G33*E35)</f>
        <v>1851.1785493857365</v>
      </c>
      <c r="J35" s="72">
        <f>I35/$C$14-1</f>
        <v>1.7199942563508319E-3</v>
      </c>
      <c r="K35" s="107">
        <f t="array" ref="K35">MAX(ABS(J29:J44))</f>
        <v>5.8165900548915461E-3</v>
      </c>
      <c r="L35" s="108"/>
      <c r="M35" s="108"/>
      <c r="N35" s="109"/>
      <c r="P35" s="38"/>
    </row>
    <row r="36" spans="2:16" ht="18" customHeight="1" x14ac:dyDescent="0.25">
      <c r="B36" s="83"/>
      <c r="C36" s="66"/>
      <c r="D36" s="66"/>
      <c r="E36" s="72"/>
      <c r="F36" s="66"/>
      <c r="G36" s="66"/>
      <c r="H36" s="86"/>
      <c r="I36" s="86"/>
      <c r="J36" s="72"/>
      <c r="K36" s="110"/>
      <c r="L36" s="111"/>
      <c r="M36" s="111"/>
      <c r="N36" s="112"/>
      <c r="P36" s="38"/>
    </row>
    <row r="37" spans="2:16" ht="18" customHeight="1" x14ac:dyDescent="0.25">
      <c r="B37" s="83" t="s">
        <v>6</v>
      </c>
      <c r="C37" s="66" t="str">
        <f>C29</f>
        <v>Low</v>
      </c>
      <c r="D37" s="66">
        <f>D29</f>
        <v>0</v>
      </c>
      <c r="E37" s="72">
        <f>(J15-J16)/J15</f>
        <v>0.10545905707196029</v>
      </c>
      <c r="F37" s="85">
        <f>F29</f>
        <v>24.668887276985899</v>
      </c>
      <c r="G37" s="85">
        <f>G29</f>
        <v>-0.71233639950407235</v>
      </c>
      <c r="H37" s="86">
        <f>J15/65535*F15</f>
        <v>49.19508659494926</v>
      </c>
      <c r="I37" s="86">
        <f>F37*H37*(1+G37*E37)</f>
        <v>1122.4204901884207</v>
      </c>
      <c r="J37" s="72">
        <f>I37/$C$22-1</f>
        <v>5.7531274089790418E-3</v>
      </c>
      <c r="K37" s="110"/>
      <c r="L37" s="111"/>
      <c r="M37" s="111"/>
      <c r="N37" s="112"/>
      <c r="P37" s="38"/>
    </row>
    <row r="38" spans="2:16" ht="18" customHeight="1" x14ac:dyDescent="0.25">
      <c r="B38" s="83"/>
      <c r="C38" s="66"/>
      <c r="D38" s="66"/>
      <c r="E38" s="72"/>
      <c r="F38" s="66"/>
      <c r="G38" s="66"/>
      <c r="H38" s="86"/>
      <c r="I38" s="86"/>
      <c r="J38" s="72"/>
      <c r="K38" s="110"/>
      <c r="L38" s="111"/>
      <c r="M38" s="111"/>
      <c r="N38" s="112"/>
      <c r="P38" s="38"/>
    </row>
    <row r="39" spans="2:16" ht="18" customHeight="1" x14ac:dyDescent="0.25">
      <c r="B39" s="83"/>
      <c r="C39" s="66"/>
      <c r="D39" s="66">
        <f>D31</f>
        <v>1</v>
      </c>
      <c r="E39" s="72">
        <f>(J17-J18)/J17</f>
        <v>0.10427135678391959</v>
      </c>
      <c r="F39" s="66"/>
      <c r="G39" s="66"/>
      <c r="H39" s="86">
        <f>J17/65535*F17</f>
        <v>48.584725719081405</v>
      </c>
      <c r="I39" s="86">
        <f>F37*H39*(1+G37*E39)</f>
        <v>1109.508685498741</v>
      </c>
      <c r="J39" s="72">
        <f>I39/$C$22-1</f>
        <v>-5.8165900548915461E-3</v>
      </c>
      <c r="K39" s="110"/>
      <c r="L39" s="111"/>
      <c r="M39" s="111"/>
      <c r="N39" s="112"/>
      <c r="P39" s="38"/>
    </row>
    <row r="40" spans="2:16" ht="18" customHeight="1" x14ac:dyDescent="0.25">
      <c r="B40" s="83"/>
      <c r="C40" s="66"/>
      <c r="D40" s="66"/>
      <c r="E40" s="72"/>
      <c r="F40" s="66"/>
      <c r="G40" s="66"/>
      <c r="H40" s="86"/>
      <c r="I40" s="86"/>
      <c r="J40" s="72"/>
      <c r="K40" s="110"/>
      <c r="L40" s="111"/>
      <c r="M40" s="111"/>
      <c r="N40" s="112"/>
      <c r="P40" s="38"/>
    </row>
    <row r="41" spans="2:16" ht="18" customHeight="1" x14ac:dyDescent="0.25">
      <c r="B41" s="83"/>
      <c r="C41" s="66" t="str">
        <f>C33</f>
        <v>High</v>
      </c>
      <c r="D41" s="66">
        <f>D33</f>
        <v>2</v>
      </c>
      <c r="E41" s="72">
        <f>(J19-J20)/J19</f>
        <v>5.8252427184466021E-2</v>
      </c>
      <c r="F41" s="85">
        <f>F33</f>
        <v>23.029085284523969</v>
      </c>
      <c r="G41" s="85">
        <f>G33</f>
        <v>-0.70959878384127761</v>
      </c>
      <c r="H41" s="86">
        <f>J19/65535*F19</f>
        <v>50.293736171511405</v>
      </c>
      <c r="I41" s="86">
        <f>F41*H41*(1+G41*E41)</f>
        <v>1110.3427817639879</v>
      </c>
      <c r="J41" s="72">
        <f>I41/$C$22-1</f>
        <v>-5.0691919677527952E-3</v>
      </c>
      <c r="K41" s="110"/>
      <c r="L41" s="111"/>
      <c r="M41" s="111"/>
      <c r="N41" s="112"/>
      <c r="P41" s="38"/>
    </row>
    <row r="42" spans="2:16" ht="18" customHeight="1" x14ac:dyDescent="0.25">
      <c r="B42" s="83"/>
      <c r="C42" s="66"/>
      <c r="D42" s="66"/>
      <c r="E42" s="72"/>
      <c r="F42" s="66"/>
      <c r="G42" s="66"/>
      <c r="H42" s="86"/>
      <c r="I42" s="86"/>
      <c r="J42" s="72"/>
      <c r="K42" s="110"/>
      <c r="L42" s="111"/>
      <c r="M42" s="111"/>
      <c r="N42" s="112"/>
      <c r="P42" s="38"/>
    </row>
    <row r="43" spans="2:16" ht="18" customHeight="1" x14ac:dyDescent="0.25">
      <c r="B43" s="83"/>
      <c r="C43" s="66"/>
      <c r="D43" s="66">
        <f>D35</f>
        <v>3</v>
      </c>
      <c r="E43" s="72">
        <f>(J21-J22)/J21</f>
        <v>5.7692307692307696E-2</v>
      </c>
      <c r="F43" s="66"/>
      <c r="G43" s="66"/>
      <c r="H43" s="86">
        <f>J21/65535*F21</f>
        <v>50.782024872205689</v>
      </c>
      <c r="I43" s="86">
        <f>F41*H43*(1+G41*E43)</f>
        <v>1121.587623895746</v>
      </c>
      <c r="J43" s="72">
        <f>I43/$C$22-1</f>
        <v>5.0068314478011189E-3</v>
      </c>
      <c r="K43" s="110"/>
      <c r="L43" s="111"/>
      <c r="M43" s="111"/>
      <c r="N43" s="112"/>
      <c r="P43" s="38"/>
    </row>
    <row r="44" spans="2:16" ht="18" customHeight="1" thickBot="1" x14ac:dyDescent="0.3">
      <c r="B44" s="81"/>
      <c r="C44" s="71"/>
      <c r="D44" s="71"/>
      <c r="E44" s="73"/>
      <c r="F44" s="71"/>
      <c r="G44" s="71"/>
      <c r="H44" s="87"/>
      <c r="I44" s="87"/>
      <c r="J44" s="73"/>
      <c r="K44" s="113"/>
      <c r="L44" s="114"/>
      <c r="M44" s="114"/>
      <c r="N44" s="115"/>
      <c r="P44" s="38"/>
    </row>
    <row r="52" spans="10:10" ht="18" customHeight="1" x14ac:dyDescent="0.25">
      <c r="J52" s="2"/>
    </row>
    <row r="53" spans="10:10" ht="18" customHeight="1" x14ac:dyDescent="0.25">
      <c r="J53" s="2"/>
    </row>
    <row r="54" spans="10:10" ht="18" customHeight="1" x14ac:dyDescent="0.25">
      <c r="J54" s="2"/>
    </row>
    <row r="55" spans="10:10" ht="18" customHeight="1" x14ac:dyDescent="0.25">
      <c r="J55" s="2"/>
    </row>
    <row r="56" spans="10:10" ht="18" customHeight="1" x14ac:dyDescent="0.25">
      <c r="J56" s="2"/>
    </row>
    <row r="57" spans="10:10" ht="18" customHeight="1" x14ac:dyDescent="0.25">
      <c r="J57" s="2"/>
    </row>
    <row r="58" spans="10:10" ht="18" customHeight="1" x14ac:dyDescent="0.25">
      <c r="J58" s="2"/>
    </row>
    <row r="59" spans="10:10" ht="18" customHeight="1" x14ac:dyDescent="0.25">
      <c r="J59" s="2"/>
    </row>
    <row r="60" spans="10:10" ht="18" customHeight="1" x14ac:dyDescent="0.25">
      <c r="J60" s="2"/>
    </row>
    <row r="61" spans="10:10" ht="18" customHeight="1" x14ac:dyDescent="0.25">
      <c r="J61" s="2"/>
    </row>
    <row r="62" spans="10:10" ht="18" customHeight="1" x14ac:dyDescent="0.25">
      <c r="J62" s="2"/>
    </row>
    <row r="63" spans="10:10" ht="18" customHeight="1" x14ac:dyDescent="0.25">
      <c r="J63" s="2"/>
    </row>
    <row r="64" spans="10:10" ht="18" customHeight="1" x14ac:dyDescent="0.25">
      <c r="J64" s="2"/>
    </row>
    <row r="65" spans="10:10" ht="18" customHeight="1" x14ac:dyDescent="0.25">
      <c r="J65" s="2"/>
    </row>
    <row r="66" spans="10:10" ht="18" customHeight="1" x14ac:dyDescent="0.25">
      <c r="J66" s="2"/>
    </row>
    <row r="67" spans="10:10" ht="18" customHeight="1" x14ac:dyDescent="0.25">
      <c r="J67" s="2"/>
    </row>
    <row r="68" spans="10:10" ht="18" customHeight="1" x14ac:dyDescent="0.25">
      <c r="J68" s="2"/>
    </row>
    <row r="69" spans="10:10" ht="18" customHeight="1" x14ac:dyDescent="0.25">
      <c r="J69" s="2"/>
    </row>
  </sheetData>
  <mergeCells count="135">
    <mergeCell ref="B3:J4"/>
    <mergeCell ref="K3:K21"/>
    <mergeCell ref="L3:M3"/>
    <mergeCell ref="N3:N14"/>
    <mergeCell ref="O3:Q3"/>
    <mergeCell ref="R3:Y4"/>
    <mergeCell ref="L4:M4"/>
    <mergeCell ref="B5:B13"/>
    <mergeCell ref="C5:C6"/>
    <mergeCell ref="D5:E6"/>
    <mergeCell ref="C7:C13"/>
    <mergeCell ref="D7:D10"/>
    <mergeCell ref="E7:E8"/>
    <mergeCell ref="F7:F8"/>
    <mergeCell ref="R7:R8"/>
    <mergeCell ref="T8:Y8"/>
    <mergeCell ref="E9:E10"/>
    <mergeCell ref="F5:F6"/>
    <mergeCell ref="G5:G6"/>
    <mergeCell ref="H5:I5"/>
    <mergeCell ref="J5:J6"/>
    <mergeCell ref="R5:R6"/>
    <mergeCell ref="S5:S8"/>
    <mergeCell ref="F9:F10"/>
    <mergeCell ref="R9:Y9"/>
    <mergeCell ref="R10:R11"/>
    <mergeCell ref="S10:S13"/>
    <mergeCell ref="T10:V10"/>
    <mergeCell ref="W10:Y10"/>
    <mergeCell ref="T5:V5"/>
    <mergeCell ref="W5:Y5"/>
    <mergeCell ref="V6:Y7"/>
    <mergeCell ref="D11:D14"/>
    <mergeCell ref="E11:E12"/>
    <mergeCell ref="F11:F12"/>
    <mergeCell ref="V11:Y12"/>
    <mergeCell ref="R12:R13"/>
    <mergeCell ref="E13:E14"/>
    <mergeCell ref="F13:F14"/>
    <mergeCell ref="T13:Y13"/>
    <mergeCell ref="R14:Y14"/>
    <mergeCell ref="T16:Y16"/>
    <mergeCell ref="E17:E18"/>
    <mergeCell ref="F17:F18"/>
    <mergeCell ref="S17:S18"/>
    <mergeCell ref="T17:Y18"/>
    <mergeCell ref="D19:D22"/>
    <mergeCell ref="E19:E20"/>
    <mergeCell ref="F19:F20"/>
    <mergeCell ref="S19:S20"/>
    <mergeCell ref="T19:Y20"/>
    <mergeCell ref="D15:D18"/>
    <mergeCell ref="E15:E16"/>
    <mergeCell ref="F15:F16"/>
    <mergeCell ref="R16:R20"/>
    <mergeCell ref="E21:E22"/>
    <mergeCell ref="F21:F22"/>
    <mergeCell ref="R21:R25"/>
    <mergeCell ref="S21:S22"/>
    <mergeCell ref="T21:Y22"/>
    <mergeCell ref="S23:S24"/>
    <mergeCell ref="T23:Y24"/>
    <mergeCell ref="T25:Y25"/>
    <mergeCell ref="B26:G27"/>
    <mergeCell ref="H26:J26"/>
    <mergeCell ref="K26:L26"/>
    <mergeCell ref="R26:R27"/>
    <mergeCell ref="S26:S27"/>
    <mergeCell ref="B15:B21"/>
    <mergeCell ref="C15:C21"/>
    <mergeCell ref="T26:Y27"/>
    <mergeCell ref="I27:L27"/>
    <mergeCell ref="M27:N27"/>
    <mergeCell ref="C28:D28"/>
    <mergeCell ref="K28:N29"/>
    <mergeCell ref="B29:B36"/>
    <mergeCell ref="C29:C32"/>
    <mergeCell ref="D29:D30"/>
    <mergeCell ref="E29:E30"/>
    <mergeCell ref="F29:F32"/>
    <mergeCell ref="K31:N31"/>
    <mergeCell ref="K32:N32"/>
    <mergeCell ref="C33:C36"/>
    <mergeCell ref="D33:D34"/>
    <mergeCell ref="E33:E34"/>
    <mergeCell ref="F33:F36"/>
    <mergeCell ref="G33:G36"/>
    <mergeCell ref="H33:H34"/>
    <mergeCell ref="I33:I34"/>
    <mergeCell ref="J33:J34"/>
    <mergeCell ref="G29:G32"/>
    <mergeCell ref="H29:H30"/>
    <mergeCell ref="I29:I30"/>
    <mergeCell ref="J29:J30"/>
    <mergeCell ref="K30:N30"/>
    <mergeCell ref="D31:D32"/>
    <mergeCell ref="E31:E32"/>
    <mergeCell ref="H31:H32"/>
    <mergeCell ref="I31:I32"/>
    <mergeCell ref="J31:J32"/>
    <mergeCell ref="K33:N33"/>
    <mergeCell ref="K34:N34"/>
    <mergeCell ref="D35:D36"/>
    <mergeCell ref="E35:E36"/>
    <mergeCell ref="H35:H36"/>
    <mergeCell ref="I35:I36"/>
    <mergeCell ref="J35:J36"/>
    <mergeCell ref="K35:N44"/>
    <mergeCell ref="H37:H38"/>
    <mergeCell ref="I37:I38"/>
    <mergeCell ref="J37:J38"/>
    <mergeCell ref="D39:D40"/>
    <mergeCell ref="E39:E40"/>
    <mergeCell ref="H39:H40"/>
    <mergeCell ref="I39:I40"/>
    <mergeCell ref="J39:J40"/>
    <mergeCell ref="B37:B44"/>
    <mergeCell ref="C37:C40"/>
    <mergeCell ref="D37:D38"/>
    <mergeCell ref="E37:E38"/>
    <mergeCell ref="F37:F40"/>
    <mergeCell ref="G37:G40"/>
    <mergeCell ref="C41:C44"/>
    <mergeCell ref="D41:D42"/>
    <mergeCell ref="E41:E42"/>
    <mergeCell ref="F41:F44"/>
    <mergeCell ref="G41:G44"/>
    <mergeCell ref="H41:H42"/>
    <mergeCell ref="I41:I42"/>
    <mergeCell ref="J41:J42"/>
    <mergeCell ref="D43:D44"/>
    <mergeCell ref="E43:E44"/>
    <mergeCell ref="H43:H44"/>
    <mergeCell ref="I43:I44"/>
    <mergeCell ref="J43:J4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tabSelected="1" workbookViewId="0">
      <selection activeCell="A15" sqref="A15"/>
    </sheetView>
  </sheetViews>
  <sheetFormatPr defaultRowHeight="15" x14ac:dyDescent="0.25"/>
  <cols>
    <col min="1" max="1" width="64.5703125" style="55" bestFit="1" customWidth="1"/>
  </cols>
  <sheetData>
    <row r="1" spans="1:1" x14ac:dyDescent="0.25">
      <c r="A1" s="55" t="s">
        <v>58</v>
      </c>
    </row>
    <row r="3" spans="1:1" x14ac:dyDescent="0.25">
      <c r="A3" s="55" t="s">
        <v>59</v>
      </c>
    </row>
    <row r="4" spans="1:1" x14ac:dyDescent="0.25">
      <c r="A4" s="55" t="s">
        <v>60</v>
      </c>
    </row>
    <row r="5" spans="1:1" x14ac:dyDescent="0.25">
      <c r="A5" s="55" t="s">
        <v>61</v>
      </c>
    </row>
    <row r="7" spans="1:1" x14ac:dyDescent="0.25">
      <c r="A7" s="55" t="s">
        <v>62</v>
      </c>
    </row>
    <row r="8" spans="1:1" x14ac:dyDescent="0.25">
      <c r="A8" s="55" t="s">
        <v>60</v>
      </c>
    </row>
    <row r="9" spans="1:1" x14ac:dyDescent="0.25">
      <c r="A9" s="55" t="s">
        <v>63</v>
      </c>
    </row>
    <row r="10" spans="1:1" x14ac:dyDescent="0.25">
      <c r="A10" s="55" t="s">
        <v>60</v>
      </c>
    </row>
    <row r="11" spans="1:1" x14ac:dyDescent="0.25">
      <c r="A11" s="55" t="s">
        <v>64</v>
      </c>
    </row>
    <row r="13" spans="1:1" x14ac:dyDescent="0.25">
      <c r="A13" s="55" t="s">
        <v>65</v>
      </c>
    </row>
    <row r="15" spans="1:1" x14ac:dyDescent="0.25">
      <c r="A15" s="55" t="s">
        <v>66</v>
      </c>
    </row>
    <row r="16" spans="1:1" x14ac:dyDescent="0.25">
      <c r="A16" s="55" t="s">
        <v>60</v>
      </c>
    </row>
    <row r="17" spans="1:1" x14ac:dyDescent="0.25">
      <c r="A17" s="55" t="s">
        <v>67</v>
      </c>
    </row>
    <row r="19" spans="1:1" x14ac:dyDescent="0.25">
      <c r="A19" s="55" t="s">
        <v>68</v>
      </c>
    </row>
    <row r="20" spans="1:1" x14ac:dyDescent="0.25">
      <c r="A20" s="55" t="s">
        <v>69</v>
      </c>
    </row>
    <row r="21" spans="1:1" x14ac:dyDescent="0.25">
      <c r="A21" s="55" t="s">
        <v>70</v>
      </c>
    </row>
    <row r="22" spans="1:1" x14ac:dyDescent="0.25">
      <c r="A22" s="55" t="s">
        <v>71</v>
      </c>
    </row>
    <row r="23" spans="1:1" x14ac:dyDescent="0.25">
      <c r="A23" s="55" t="s">
        <v>67</v>
      </c>
    </row>
    <row r="25" spans="1:1" x14ac:dyDescent="0.25">
      <c r="A25" s="55" t="s">
        <v>72</v>
      </c>
    </row>
    <row r="26" spans="1:1" x14ac:dyDescent="0.25">
      <c r="A26" s="55" t="s">
        <v>73</v>
      </c>
    </row>
    <row r="27" spans="1:1" x14ac:dyDescent="0.25">
      <c r="A27" s="55" t="s">
        <v>70</v>
      </c>
    </row>
    <row r="28" spans="1:1" x14ac:dyDescent="0.25">
      <c r="A28" s="55" t="s">
        <v>74</v>
      </c>
    </row>
    <row r="29" spans="1:1" x14ac:dyDescent="0.25">
      <c r="A29" s="55" t="s">
        <v>67</v>
      </c>
    </row>
    <row r="31" spans="1:1" x14ac:dyDescent="0.25">
      <c r="A31" s="55" t="s">
        <v>75</v>
      </c>
    </row>
    <row r="34" spans="1:1" x14ac:dyDescent="0.25">
      <c r="A34" s="55" t="s">
        <v>76</v>
      </c>
    </row>
    <row r="35" spans="1:1" x14ac:dyDescent="0.25">
      <c r="A35" s="55" t="s">
        <v>77</v>
      </c>
    </row>
    <row r="37" spans="1:1" x14ac:dyDescent="0.25">
      <c r="A37" t="s">
        <v>78</v>
      </c>
    </row>
    <row r="38" spans="1:1" x14ac:dyDescent="0.25">
      <c r="A38"/>
    </row>
    <row r="39" spans="1:1" x14ac:dyDescent="0.25">
      <c r="A39" t="s">
        <v>79</v>
      </c>
    </row>
    <row r="40" spans="1:1" x14ac:dyDescent="0.25">
      <c r="A40"/>
    </row>
    <row r="41" spans="1:1" x14ac:dyDescent="0.25">
      <c r="A41" t="s">
        <v>80</v>
      </c>
    </row>
    <row r="42" spans="1:1" x14ac:dyDescent="0.25">
      <c r="A42"/>
    </row>
    <row r="43" spans="1:1" x14ac:dyDescent="0.25">
      <c r="A43" t="s">
        <v>81</v>
      </c>
    </row>
    <row r="44" spans="1:1" x14ac:dyDescent="0.25">
      <c r="A44"/>
    </row>
    <row r="45" spans="1:1" x14ac:dyDescent="0.25">
      <c r="A45" t="s">
        <v>82</v>
      </c>
    </row>
    <row r="46" spans="1:1" x14ac:dyDescent="0.25">
      <c r="A46" s="55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34-35 Calibration</vt:lpstr>
      <vt:lpstr>34-35 Calibration with Glass</vt:lpstr>
      <vt:lpstr>pseudo code</vt:lpstr>
    </vt:vector>
  </TitlesOfParts>
  <Company>Intersil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jgetchel</dc:creator>
  <cp:lastModifiedBy>Jim Getchell</cp:lastModifiedBy>
  <dcterms:created xsi:type="dcterms:W3CDTF">2014-04-23T20:33:08Z</dcterms:created>
  <dcterms:modified xsi:type="dcterms:W3CDTF">2015-01-19T21:41:50Z</dcterms:modified>
</cp:coreProperties>
</file>